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5345" windowHeight="4575" tabRatio="697" firstSheet="1" activeTab="1"/>
  </bookViews>
  <sheets>
    <sheet name="basic data" sheetId="19" state="hidden" r:id="rId1"/>
    <sheet name="recap" sheetId="23" r:id="rId2"/>
    <sheet name="Abst.WT" sheetId="34" r:id="rId3"/>
    <sheet name="RA-1" sheetId="35" state="hidden" r:id="rId4"/>
    <sheet name="LAB" sheetId="38" state="hidden" r:id="rId5"/>
    <sheet name="ROYALTY" sheetId="37" r:id="rId6"/>
    <sheet name="Measurment" sheetId="33" r:id="rId7"/>
    <sheet name="Sech-B-" sheetId="41" state="hidden" r:id="rId8"/>
    <sheet name="Sexh-C" sheetId="39" state="hidden" r:id="rId9"/>
    <sheet name="Sech-B-Abs" sheetId="40" state="hidden" r:id="rId10"/>
  </sheets>
  <externalReferences>
    <externalReference r:id="rId11"/>
    <externalReference r:id="rId12"/>
    <externalReference r:id="rId13"/>
    <externalReference r:id="rId14"/>
    <externalReference r:id="rId15"/>
    <externalReference r:id="rId16"/>
    <externalReference r:id="rId17"/>
  </externalReferences>
  <definedNames>
    <definedName name="j">#REF!</definedName>
    <definedName name="m">#REF!</definedName>
    <definedName name="_xlnm.Print_Area" localSheetId="2">Abst.WT!$A$1:$O$150</definedName>
    <definedName name="_xlnm.Print_Area" localSheetId="6">Measurment!$A$1:$N$188</definedName>
    <definedName name="_xlnm.Print_Area" localSheetId="1">recap!$A$1:$H$46</definedName>
    <definedName name="_xlnm.Print_Area" localSheetId="5">ROYALTY!$A$1:$N$64</definedName>
    <definedName name="_xlnm.Print_Titles" localSheetId="2">Abst.WT!$87:$96</definedName>
    <definedName name="sa">#REF!</definedName>
    <definedName name="sk">#REF!</definedName>
    <definedName name="ss">#REF!</definedName>
    <definedName name="us">#REF!</definedName>
  </definedNames>
  <calcPr calcId="144525"/>
</workbook>
</file>

<file path=xl/calcChain.xml><?xml version="1.0" encoding="utf-8"?>
<calcChain xmlns="http://schemas.openxmlformats.org/spreadsheetml/2006/main">
  <c r="L137" i="34" l="1"/>
  <c r="N137" i="34" s="1"/>
  <c r="M137" i="34"/>
  <c r="L139" i="34"/>
  <c r="M139" i="34"/>
  <c r="L141" i="34"/>
  <c r="M141" i="34"/>
  <c r="L115" i="34"/>
  <c r="M115" i="34" s="1"/>
  <c r="N141" i="34" l="1"/>
  <c r="N139" i="34"/>
  <c r="N115" i="34"/>
  <c r="I109" i="34" l="1"/>
  <c r="H109" i="34"/>
  <c r="G19" i="37"/>
  <c r="B19" i="37"/>
  <c r="B141" i="34"/>
  <c r="B139" i="34"/>
  <c r="B115" i="34"/>
  <c r="B109" i="34"/>
  <c r="M179" i="33"/>
  <c r="M181" i="33" s="1"/>
  <c r="M182" i="33" s="1"/>
  <c r="C141" i="34" s="1"/>
  <c r="O141" i="34" s="1"/>
  <c r="M174" i="33"/>
  <c r="M173" i="33"/>
  <c r="M168" i="33"/>
  <c r="M170" i="33" s="1"/>
  <c r="M171" i="33" s="1"/>
  <c r="C137" i="34" s="1"/>
  <c r="O137" i="34" s="1"/>
  <c r="B167" i="33"/>
  <c r="B137" i="34" s="1"/>
  <c r="M175" i="33" l="1"/>
  <c r="M176" i="33" s="1"/>
  <c r="C139" i="34" s="1"/>
  <c r="O139" i="34" s="1"/>
  <c r="M111" i="33" l="1"/>
  <c r="M110" i="33"/>
  <c r="M109" i="33"/>
  <c r="M84" i="33"/>
  <c r="M80" i="33"/>
  <c r="M82" i="33"/>
  <c r="M83" i="33"/>
  <c r="N87" i="33"/>
  <c r="M79" i="33"/>
  <c r="M78" i="33"/>
  <c r="M77" i="33"/>
  <c r="M90" i="33"/>
  <c r="M72" i="33"/>
  <c r="M56" i="33"/>
  <c r="M55" i="33"/>
  <c r="M49" i="33"/>
  <c r="M31" i="33"/>
  <c r="M30" i="33"/>
  <c r="M29" i="33"/>
  <c r="M23" i="33"/>
  <c r="M22" i="33"/>
  <c r="M21" i="33"/>
  <c r="M14" i="33"/>
  <c r="M15" i="33"/>
  <c r="M112" i="33" l="1"/>
  <c r="M85" i="33"/>
  <c r="M81" i="33"/>
  <c r="M58" i="33"/>
  <c r="M59" i="33" s="1"/>
  <c r="G65" i="33" l="1"/>
  <c r="C109" i="34"/>
  <c r="M86" i="33"/>
  <c r="M87" i="33" s="1"/>
  <c r="C115" i="34" s="1"/>
  <c r="O115" i="34" s="1"/>
  <c r="E72" i="34"/>
  <c r="F72" i="34" s="1"/>
  <c r="E71" i="34"/>
  <c r="F71" i="34" s="1"/>
  <c r="A3" i="23" l="1"/>
  <c r="A2" i="23"/>
  <c r="B17" i="37"/>
  <c r="A17" i="37"/>
  <c r="B15" i="37"/>
  <c r="A15" i="37"/>
  <c r="B13" i="37"/>
  <c r="A13" i="37"/>
  <c r="A11" i="37"/>
  <c r="B29" i="37"/>
  <c r="A29" i="37"/>
  <c r="B27" i="37"/>
  <c r="A27" i="37"/>
  <c r="B25" i="37"/>
  <c r="A25" i="37"/>
  <c r="B23" i="37"/>
  <c r="A23" i="37"/>
  <c r="M94" i="34"/>
  <c r="F20" i="34"/>
  <c r="E47" i="34" s="1"/>
  <c r="F47" i="34" s="1"/>
  <c r="F18" i="34"/>
  <c r="H18" i="34" s="1"/>
  <c r="F16" i="34"/>
  <c r="F14" i="34"/>
  <c r="E50" i="34" s="1"/>
  <c r="F50" i="34" s="1"/>
  <c r="I103" i="34" s="1"/>
  <c r="F12" i="34"/>
  <c r="I12" i="34" s="1"/>
  <c r="B135" i="34"/>
  <c r="C49" i="41" s="1"/>
  <c r="D133" i="34"/>
  <c r="F47" i="41" s="1"/>
  <c r="B133" i="34"/>
  <c r="C47" i="41" s="1"/>
  <c r="B131" i="34"/>
  <c r="C45" i="41" s="1"/>
  <c r="B129" i="34"/>
  <c r="C43" i="41" s="1"/>
  <c r="B127" i="34"/>
  <c r="C41" i="41" s="1"/>
  <c r="B125" i="34"/>
  <c r="C39" i="41" s="1"/>
  <c r="B123" i="34"/>
  <c r="C37" i="41" s="1"/>
  <c r="B121" i="34"/>
  <c r="C35" i="41" s="1"/>
  <c r="N101" i="33"/>
  <c r="F33" i="41" s="1"/>
  <c r="B119" i="34"/>
  <c r="C33" i="41" s="1"/>
  <c r="B117" i="34"/>
  <c r="C31" i="41" s="1"/>
  <c r="B113" i="34"/>
  <c r="C29" i="41" s="1"/>
  <c r="D111" i="34"/>
  <c r="F27" i="41" s="1"/>
  <c r="B111" i="34"/>
  <c r="C27" i="41" s="1"/>
  <c r="B107" i="34"/>
  <c r="C25" i="41" s="1"/>
  <c r="B105" i="34"/>
  <c r="C23" i="41" s="1"/>
  <c r="B103" i="34"/>
  <c r="C21" i="41" s="1"/>
  <c r="B101" i="34"/>
  <c r="C19" i="41" s="1"/>
  <c r="B99" i="34"/>
  <c r="C17" i="41" s="1"/>
  <c r="B97" i="34"/>
  <c r="C15" i="41" s="1"/>
  <c r="M90" i="34"/>
  <c r="B4" i="34"/>
  <c r="B87" i="34" s="1"/>
  <c r="A2" i="34"/>
  <c r="A85" i="34" s="1"/>
  <c r="A1" i="34"/>
  <c r="A84" i="34" s="1"/>
  <c r="A2" i="37"/>
  <c r="A40" i="37" s="1"/>
  <c r="A1" i="37"/>
  <c r="A39" i="37" s="1"/>
  <c r="N165" i="33"/>
  <c r="D135" i="34" s="1"/>
  <c r="F49" i="41" s="1"/>
  <c r="M162" i="33"/>
  <c r="M164" i="33" s="1"/>
  <c r="M165" i="33" s="1"/>
  <c r="C135" i="34" s="1"/>
  <c r="M156" i="33"/>
  <c r="M158" i="33" s="1"/>
  <c r="M159" i="33" s="1"/>
  <c r="C133" i="34" s="1"/>
  <c r="N153" i="33"/>
  <c r="D131" i="34" s="1"/>
  <c r="F45" i="41" s="1"/>
  <c r="M150" i="33"/>
  <c r="M149" i="33"/>
  <c r="N146" i="33"/>
  <c r="D129" i="34" s="1"/>
  <c r="F43" i="41" s="1"/>
  <c r="M143" i="33"/>
  <c r="M145" i="33" s="1"/>
  <c r="M142" i="33"/>
  <c r="N138" i="33"/>
  <c r="D127" i="34" s="1"/>
  <c r="F41" i="41" s="1"/>
  <c r="N131" i="33"/>
  <c r="D125" i="34" s="1"/>
  <c r="F39" i="41" s="1"/>
  <c r="M117" i="33"/>
  <c r="N125" i="33"/>
  <c r="D123" i="34" s="1"/>
  <c r="F37" i="41" s="1"/>
  <c r="M122" i="33"/>
  <c r="M121" i="33"/>
  <c r="M120" i="33"/>
  <c r="M118" i="33"/>
  <c r="N114" i="33"/>
  <c r="D121" i="34" s="1"/>
  <c r="F35" i="41" s="1"/>
  <c r="M107" i="33"/>
  <c r="M106" i="33"/>
  <c r="M105" i="33"/>
  <c r="M104" i="33"/>
  <c r="M98" i="33"/>
  <c r="M97" i="33"/>
  <c r="M91" i="33"/>
  <c r="N94" i="33"/>
  <c r="D117" i="34" s="1"/>
  <c r="F31" i="41" s="1"/>
  <c r="N75" i="33"/>
  <c r="D113" i="34" s="1"/>
  <c r="F29" i="41" s="1"/>
  <c r="M71" i="33"/>
  <c r="M65" i="33"/>
  <c r="N52" i="33"/>
  <c r="D107" i="34" s="1"/>
  <c r="F25" i="41" s="1"/>
  <c r="M50" i="33"/>
  <c r="M48" i="33"/>
  <c r="N45" i="33"/>
  <c r="D105" i="34" s="1"/>
  <c r="F23" i="41" s="1"/>
  <c r="M43" i="33"/>
  <c r="M44" i="33" s="1"/>
  <c r="M45" i="33" s="1"/>
  <c r="M38" i="33"/>
  <c r="M39" i="33" s="1"/>
  <c r="M40" i="33" s="1"/>
  <c r="N40" i="33"/>
  <c r="D103" i="34" s="1"/>
  <c r="F21" i="41" s="1"/>
  <c r="N35" i="33"/>
  <c r="D101" i="34" s="1"/>
  <c r="F19" i="41" s="1"/>
  <c r="M32" i="33"/>
  <c r="N18" i="33"/>
  <c r="D97" i="34" s="1"/>
  <c r="F15" i="41" s="1"/>
  <c r="N26" i="33"/>
  <c r="D99" i="34" s="1"/>
  <c r="F17" i="41" s="1"/>
  <c r="M13" i="33"/>
  <c r="A8" i="23"/>
  <c r="F33" i="38"/>
  <c r="H33" i="38" s="1"/>
  <c r="C95" i="41"/>
  <c r="B94" i="41"/>
  <c r="C93" i="41"/>
  <c r="D92" i="41"/>
  <c r="D93" i="41" s="1"/>
  <c r="D95" i="41" s="1"/>
  <c r="C92" i="41"/>
  <c r="B92" i="41"/>
  <c r="A92" i="41"/>
  <c r="C90" i="41"/>
  <c r="D86" i="41"/>
  <c r="C86" i="41"/>
  <c r="C85" i="41"/>
  <c r="A85" i="41"/>
  <c r="F32" i="38"/>
  <c r="B84" i="41" s="1"/>
  <c r="D84" i="41"/>
  <c r="C84" i="41"/>
  <c r="C83" i="41"/>
  <c r="A83" i="41"/>
  <c r="B78" i="41"/>
  <c r="B79" i="41" s="1"/>
  <c r="D80" i="41"/>
  <c r="D79" i="41"/>
  <c r="D78" i="41"/>
  <c r="D82" i="41"/>
  <c r="A81" i="41"/>
  <c r="C81" i="41"/>
  <c r="C79" i="41"/>
  <c r="C80" i="41"/>
  <c r="C82" i="41"/>
  <c r="C78" i="41"/>
  <c r="C77" i="41"/>
  <c r="D76" i="41"/>
  <c r="G76" i="41" s="1"/>
  <c r="C75" i="41"/>
  <c r="C76" i="41"/>
  <c r="B76" i="41"/>
  <c r="C73" i="41"/>
  <c r="C71" i="41"/>
  <c r="D68" i="41"/>
  <c r="C68" i="41"/>
  <c r="B68" i="41"/>
  <c r="G68" i="41" s="1"/>
  <c r="D66" i="41"/>
  <c r="G66" i="41" s="1"/>
  <c r="B66" i="41"/>
  <c r="C66" i="41"/>
  <c r="D64" i="41"/>
  <c r="B64" i="41"/>
  <c r="C64" i="41"/>
  <c r="C63" i="41"/>
  <c r="D62" i="41"/>
  <c r="C62" i="41"/>
  <c r="C61" i="41"/>
  <c r="A95" i="41"/>
  <c r="A75" i="41"/>
  <c r="A71" i="41"/>
  <c r="A63" i="41"/>
  <c r="A61" i="41"/>
  <c r="C59" i="41"/>
  <c r="F51" i="41"/>
  <c r="F53" i="41"/>
  <c r="F55" i="41"/>
  <c r="B17" i="23"/>
  <c r="B89" i="34"/>
  <c r="B14" i="23" s="1"/>
  <c r="A127" i="34"/>
  <c r="A41" i="41" s="1"/>
  <c r="L127" i="34"/>
  <c r="A111" i="34"/>
  <c r="A27" i="41" s="1"/>
  <c r="L111" i="34"/>
  <c r="A99" i="34"/>
  <c r="A17" i="41" s="1"/>
  <c r="L99" i="34"/>
  <c r="G15" i="38"/>
  <c r="D73" i="41" s="1"/>
  <c r="B21" i="37"/>
  <c r="A21" i="37"/>
  <c r="B82" i="41"/>
  <c r="G82" i="41" s="1"/>
  <c r="G64" i="41"/>
  <c r="D51" i="37"/>
  <c r="G51" i="37" s="1"/>
  <c r="F105" i="41"/>
  <c r="A5" i="41"/>
  <c r="D15" i="40"/>
  <c r="B15" i="40"/>
  <c r="D14" i="40"/>
  <c r="B14" i="40"/>
  <c r="D13" i="40"/>
  <c r="D16" i="40" s="1"/>
  <c r="B13" i="40"/>
  <c r="D12" i="40"/>
  <c r="B12" i="40"/>
  <c r="A5" i="40"/>
  <c r="B89" i="39"/>
  <c r="B88" i="39"/>
  <c r="B87" i="39"/>
  <c r="B84" i="39"/>
  <c r="B78" i="39"/>
  <c r="B77" i="39"/>
  <c r="B76" i="39"/>
  <c r="B75" i="39"/>
  <c r="B74" i="39"/>
  <c r="B73" i="39"/>
  <c r="B72" i="39"/>
  <c r="B71" i="39"/>
  <c r="B70" i="39"/>
  <c r="B69" i="39"/>
  <c r="B68" i="39"/>
  <c r="B67" i="39"/>
  <c r="B66" i="39"/>
  <c r="B65" i="39"/>
  <c r="B64" i="39"/>
  <c r="B63" i="39"/>
  <c r="B62" i="39"/>
  <c r="B61" i="39"/>
  <c r="B60" i="39"/>
  <c r="B59" i="39"/>
  <c r="B58" i="39"/>
  <c r="B57" i="39"/>
  <c r="B53" i="39"/>
  <c r="B52" i="39"/>
  <c r="B51" i="39"/>
  <c r="B50" i="39"/>
  <c r="B49" i="39"/>
  <c r="B48" i="39"/>
  <c r="B47" i="39"/>
  <c r="B46" i="39"/>
  <c r="B45" i="39"/>
  <c r="B44" i="39"/>
  <c r="B43" i="39"/>
  <c r="B42" i="39"/>
  <c r="B41" i="39"/>
  <c r="B40" i="39"/>
  <c r="B39" i="39"/>
  <c r="B38" i="39"/>
  <c r="B37" i="39"/>
  <c r="B36" i="39"/>
  <c r="B35" i="39"/>
  <c r="B34" i="39"/>
  <c r="B33" i="39"/>
  <c r="B32" i="39"/>
  <c r="B31" i="39"/>
  <c r="B30" i="39"/>
  <c r="B29" i="39"/>
  <c r="B28" i="39"/>
  <c r="B27" i="39"/>
  <c r="B26" i="39"/>
  <c r="B25" i="39"/>
  <c r="B24" i="39"/>
  <c r="B23" i="39"/>
  <c r="B22" i="39"/>
  <c r="B21" i="39"/>
  <c r="B20" i="39"/>
  <c r="B19" i="39"/>
  <c r="B18" i="39"/>
  <c r="B17" i="39"/>
  <c r="B16" i="39"/>
  <c r="B15" i="39"/>
  <c r="H32" i="38"/>
  <c r="H30" i="38"/>
  <c r="H29" i="38"/>
  <c r="H28" i="38"/>
  <c r="H27" i="38"/>
  <c r="H26" i="38"/>
  <c r="H25" i="38"/>
  <c r="H24" i="38"/>
  <c r="H23" i="38"/>
  <c r="H22" i="38"/>
  <c r="C22" i="38"/>
  <c r="H21" i="38"/>
  <c r="H14" i="38"/>
  <c r="H12" i="38"/>
  <c r="H11" i="38"/>
  <c r="H10" i="38"/>
  <c r="L131" i="34"/>
  <c r="L113" i="34"/>
  <c r="L125" i="34"/>
  <c r="L133" i="34"/>
  <c r="L135" i="34"/>
  <c r="L97" i="34"/>
  <c r="G94" i="34"/>
  <c r="A133" i="34"/>
  <c r="A47" i="41" s="1"/>
  <c r="D79" i="34"/>
  <c r="I26" i="34"/>
  <c r="I27" i="34"/>
  <c r="E46" i="34"/>
  <c r="F46" i="34" s="1"/>
  <c r="I16" i="34"/>
  <c r="F22" i="34"/>
  <c r="I22" i="34" s="1"/>
  <c r="F24" i="34"/>
  <c r="H24" i="34" s="1"/>
  <c r="H26" i="34"/>
  <c r="H27" i="34"/>
  <c r="C55" i="41"/>
  <c r="A55" i="41"/>
  <c r="C53" i="41"/>
  <c r="A53" i="41"/>
  <c r="C51" i="41"/>
  <c r="A51" i="41"/>
  <c r="A135" i="34"/>
  <c r="A49" i="41" s="1"/>
  <c r="A131" i="34"/>
  <c r="A45" i="41" s="1"/>
  <c r="A129" i="34"/>
  <c r="A43" i="41" s="1"/>
  <c r="A125" i="34"/>
  <c r="A39" i="41" s="1"/>
  <c r="A123" i="34"/>
  <c r="A37" i="41" s="1"/>
  <c r="A121" i="34"/>
  <c r="A35" i="41" s="1"/>
  <c r="A119" i="34"/>
  <c r="A33" i="41" s="1"/>
  <c r="A117" i="34"/>
  <c r="A31" i="41" s="1"/>
  <c r="A113" i="34"/>
  <c r="A29" i="41" s="1"/>
  <c r="A107" i="34"/>
  <c r="A25" i="41" s="1"/>
  <c r="A105" i="34"/>
  <c r="A23" i="41" s="1"/>
  <c r="A103" i="34"/>
  <c r="A21" i="41" s="1"/>
  <c r="A101" i="34"/>
  <c r="A19" i="41" s="1"/>
  <c r="A97" i="34"/>
  <c r="A15" i="41" s="1"/>
  <c r="F79" i="34"/>
  <c r="E363" i="35"/>
  <c r="F363" i="35"/>
  <c r="F324" i="35"/>
  <c r="F326" i="35" s="1"/>
  <c r="F322" i="35"/>
  <c r="G312" i="35"/>
  <c r="I312" i="35"/>
  <c r="E312" i="35" s="1"/>
  <c r="F312" i="35" s="1"/>
  <c r="I311" i="35"/>
  <c r="F310" i="35"/>
  <c r="G301" i="35"/>
  <c r="I301" i="35" s="1"/>
  <c r="E301" i="35" s="1"/>
  <c r="F301" i="35" s="1"/>
  <c r="I299" i="35"/>
  <c r="E299" i="35" s="1"/>
  <c r="F299" i="35" s="1"/>
  <c r="H296" i="35"/>
  <c r="E311" i="35" s="1"/>
  <c r="F311" i="35" s="1"/>
  <c r="F294" i="35"/>
  <c r="E283" i="35"/>
  <c r="F283" i="35" s="1"/>
  <c r="B283" i="35"/>
  <c r="F278" i="35"/>
  <c r="F275" i="35"/>
  <c r="F270" i="35"/>
  <c r="F265" i="35"/>
  <c r="E264" i="35"/>
  <c r="E277" i="35" s="1"/>
  <c r="F277" i="35" s="1"/>
  <c r="F262" i="35"/>
  <c r="E251" i="35"/>
  <c r="F251" i="35"/>
  <c r="E246" i="35"/>
  <c r="D246" i="35"/>
  <c r="E244" i="35"/>
  <c r="F244" i="35" s="1"/>
  <c r="E230" i="35"/>
  <c r="F230" i="35"/>
  <c r="F227" i="35"/>
  <c r="F225" i="35"/>
  <c r="E223" i="35"/>
  <c r="F223" i="35" s="1"/>
  <c r="F231" i="35" s="1"/>
  <c r="B223" i="35"/>
  <c r="B166" i="35" s="1"/>
  <c r="F213" i="35"/>
  <c r="F211" i="35"/>
  <c r="F209" i="35"/>
  <c r="I207" i="35"/>
  <c r="E207" i="35"/>
  <c r="F207" i="35"/>
  <c r="F214" i="35" s="1"/>
  <c r="F205" i="35"/>
  <c r="G195" i="35"/>
  <c r="G194" i="35"/>
  <c r="G196" i="35" s="1"/>
  <c r="G197" i="35" s="1"/>
  <c r="G191" i="35"/>
  <c r="G190" i="35"/>
  <c r="G189" i="35"/>
  <c r="G188" i="35"/>
  <c r="G186" i="35"/>
  <c r="G187" i="35" s="1"/>
  <c r="G185" i="35"/>
  <c r="G182" i="35"/>
  <c r="G181" i="35"/>
  <c r="G180" i="35"/>
  <c r="G183" i="35" s="1"/>
  <c r="G184" i="35" s="1"/>
  <c r="B174" i="35"/>
  <c r="E173" i="35"/>
  <c r="F173" i="35" s="1"/>
  <c r="F170" i="35"/>
  <c r="F168" i="35"/>
  <c r="E160" i="35"/>
  <c r="D153" i="35"/>
  <c r="F153" i="35" s="1"/>
  <c r="I149" i="35"/>
  <c r="D149" i="35"/>
  <c r="F149" i="35" s="1"/>
  <c r="D145" i="35"/>
  <c r="B145" i="35"/>
  <c r="B230" i="35" s="1"/>
  <c r="D140" i="35"/>
  <c r="F140" i="35" s="1"/>
  <c r="F137" i="35"/>
  <c r="I133" i="35"/>
  <c r="D130" i="35"/>
  <c r="F130" i="35" s="1"/>
  <c r="F120" i="35"/>
  <c r="E119" i="35"/>
  <c r="B118" i="35"/>
  <c r="E114" i="35"/>
  <c r="E116" i="35" s="1"/>
  <c r="D114" i="35"/>
  <c r="F114" i="35" s="1"/>
  <c r="I107" i="35"/>
  <c r="E107" i="35" s="1"/>
  <c r="D107" i="35"/>
  <c r="E105" i="35"/>
  <c r="D105" i="35"/>
  <c r="F105" i="35" s="1"/>
  <c r="B105" i="35"/>
  <c r="I104" i="35"/>
  <c r="D119" i="35"/>
  <c r="F119" i="35"/>
  <c r="F97" i="35"/>
  <c r="E96" i="35"/>
  <c r="B95" i="35"/>
  <c r="E94" i="35"/>
  <c r="D93" i="35"/>
  <c r="D92" i="35"/>
  <c r="I89" i="35"/>
  <c r="D96" i="35"/>
  <c r="F96" i="35" s="1"/>
  <c r="F88" i="35"/>
  <c r="F80" i="35"/>
  <c r="E79" i="35"/>
  <c r="I73" i="35"/>
  <c r="E73" i="35" s="1"/>
  <c r="F73" i="35" s="1"/>
  <c r="F72" i="35"/>
  <c r="F63" i="35"/>
  <c r="E62" i="35"/>
  <c r="F62" i="35" s="1"/>
  <c r="E61" i="35"/>
  <c r="F61" i="35" s="1"/>
  <c r="F50" i="35"/>
  <c r="E49" i="35"/>
  <c r="F49" i="35"/>
  <c r="F48" i="35"/>
  <c r="F21" i="35"/>
  <c r="F16" i="35"/>
  <c r="E14" i="35"/>
  <c r="F14" i="35" s="1"/>
  <c r="E13" i="35"/>
  <c r="F13" i="35"/>
  <c r="F12" i="35"/>
  <c r="A2" i="35"/>
  <c r="A1" i="35"/>
  <c r="B53" i="41"/>
  <c r="F19" i="19"/>
  <c r="G19" i="19" s="1"/>
  <c r="J19" i="19" s="1"/>
  <c r="E19" i="19"/>
  <c r="G12" i="19"/>
  <c r="J12" i="19"/>
  <c r="G42" i="19" s="1"/>
  <c r="I42" i="19" s="1"/>
  <c r="F35" i="19"/>
  <c r="I35" i="19" s="1"/>
  <c r="J25" i="19"/>
  <c r="G45" i="19" s="1"/>
  <c r="F45" i="19"/>
  <c r="G14" i="19"/>
  <c r="J14" i="19" s="1"/>
  <c r="K21" i="19"/>
  <c r="K16" i="19"/>
  <c r="K12" i="19"/>
  <c r="K14" i="19"/>
  <c r="K23" i="19"/>
  <c r="A2" i="19"/>
  <c r="A1" i="19"/>
  <c r="F41" i="19"/>
  <c r="I41" i="19" s="1"/>
  <c r="F38" i="19"/>
  <c r="F29" i="19"/>
  <c r="G41" i="19"/>
  <c r="G16" i="19"/>
  <c r="J16" i="19" s="1"/>
  <c r="G18" i="19"/>
  <c r="J18" i="19" s="1"/>
  <c r="G31" i="19" s="1"/>
  <c r="I31" i="19" s="1"/>
  <c r="K18" i="19"/>
  <c r="G21" i="19"/>
  <c r="J21" i="19" s="1"/>
  <c r="G23" i="19"/>
  <c r="J23" i="19"/>
  <c r="K25" i="19"/>
  <c r="F32" i="19"/>
  <c r="G32" i="19"/>
  <c r="F43" i="19"/>
  <c r="F47" i="19"/>
  <c r="G47" i="19"/>
  <c r="I47" i="19" s="1"/>
  <c r="F51" i="19"/>
  <c r="G48" i="19"/>
  <c r="I48" i="19"/>
  <c r="G51" i="19"/>
  <c r="I51" i="19" s="1"/>
  <c r="G29" i="19"/>
  <c r="I29" i="19" s="1"/>
  <c r="G43" i="19"/>
  <c r="G35" i="19"/>
  <c r="G38" i="19"/>
  <c r="I43" i="19"/>
  <c r="G160" i="35"/>
  <c r="F77" i="35"/>
  <c r="E89" i="35"/>
  <c r="F89" i="35" s="1"/>
  <c r="E174" i="35"/>
  <c r="F174" i="35" s="1"/>
  <c r="E263" i="35"/>
  <c r="E165" i="35"/>
  <c r="E255" i="35"/>
  <c r="F255" i="35" s="1"/>
  <c r="B341" i="35"/>
  <c r="K19" i="19"/>
  <c r="G50" i="19"/>
  <c r="I50" i="19" s="1"/>
  <c r="G33" i="19"/>
  <c r="I33" i="19" s="1"/>
  <c r="F263" i="35"/>
  <c r="E276" i="35"/>
  <c r="F276" i="35"/>
  <c r="F279" i="35" s="1"/>
  <c r="D51" i="41"/>
  <c r="D55" i="41"/>
  <c r="I296" i="35"/>
  <c r="E296" i="35" s="1"/>
  <c r="F296" i="35" s="1"/>
  <c r="H45" i="41"/>
  <c r="H76" i="41"/>
  <c r="H19" i="41"/>
  <c r="H29" i="41"/>
  <c r="H15" i="41"/>
  <c r="H23" i="41"/>
  <c r="H43" i="41"/>
  <c r="H17" i="41"/>
  <c r="H95" i="41"/>
  <c r="H25" i="41"/>
  <c r="H55" i="41"/>
  <c r="H31" i="41"/>
  <c r="H47" i="41"/>
  <c r="H86" i="41"/>
  <c r="H35" i="41"/>
  <c r="H62" i="41"/>
  <c r="H39" i="41"/>
  <c r="H53" i="41"/>
  <c r="H97" i="41"/>
  <c r="H19" i="40"/>
  <c r="H93" i="41"/>
  <c r="H37" i="41"/>
  <c r="H41" i="41"/>
  <c r="H33" i="41"/>
  <c r="H51" i="41"/>
  <c r="H21" i="41"/>
  <c r="H27" i="41"/>
  <c r="H61" i="41"/>
  <c r="H49" i="41"/>
  <c r="G101" i="34" l="1"/>
  <c r="G109" i="34"/>
  <c r="L109" i="34" s="1"/>
  <c r="I101" i="34"/>
  <c r="G103" i="34"/>
  <c r="M123" i="33"/>
  <c r="M119" i="33"/>
  <c r="M108" i="33"/>
  <c r="M113" i="33" s="1"/>
  <c r="M114" i="33" s="1"/>
  <c r="G128" i="33" s="1"/>
  <c r="M128" i="33" s="1"/>
  <c r="M130" i="33" s="1"/>
  <c r="M131" i="33" s="1"/>
  <c r="C125" i="34" s="1"/>
  <c r="M93" i="33"/>
  <c r="M94" i="33" s="1"/>
  <c r="C117" i="34" s="1"/>
  <c r="C13" i="37"/>
  <c r="G13" i="37" s="1"/>
  <c r="G62" i="33"/>
  <c r="M62" i="33" s="1"/>
  <c r="C15" i="37"/>
  <c r="G15" i="37" s="1"/>
  <c r="G63" i="33"/>
  <c r="M63" i="33" s="1"/>
  <c r="C105" i="34"/>
  <c r="E40" i="34"/>
  <c r="F40" i="34" s="1"/>
  <c r="F17" i="35"/>
  <c r="F300" i="35"/>
  <c r="F156" i="35"/>
  <c r="E338" i="35"/>
  <c r="I45" i="19"/>
  <c r="G92" i="41"/>
  <c r="C103" i="34"/>
  <c r="G105" i="34"/>
  <c r="F264" i="35"/>
  <c r="F266" i="35" s="1"/>
  <c r="F98" i="35"/>
  <c r="F100" i="35" s="1"/>
  <c r="E43" i="34"/>
  <c r="F43" i="34" s="1"/>
  <c r="G30" i="19"/>
  <c r="I30" i="19" s="1"/>
  <c r="G36" i="19"/>
  <c r="I36" i="19" s="1"/>
  <c r="G39" i="19"/>
  <c r="I39" i="19" s="1"/>
  <c r="G46" i="19"/>
  <c r="I46" i="19" s="1"/>
  <c r="F107" i="35"/>
  <c r="F257" i="35"/>
  <c r="F258" i="35" s="1"/>
  <c r="G84" i="41"/>
  <c r="G107" i="34"/>
  <c r="G44" i="19"/>
  <c r="I44" i="19" s="1"/>
  <c r="G27" i="19"/>
  <c r="I27" i="19" s="1"/>
  <c r="I160" i="35"/>
  <c r="I32" i="19"/>
  <c r="I38" i="19"/>
  <c r="D94" i="35"/>
  <c r="F94" i="35" s="1"/>
  <c r="G192" i="35"/>
  <c r="G193" i="35" s="1"/>
  <c r="F246" i="35"/>
  <c r="E62" i="34"/>
  <c r="F62" i="34" s="1"/>
  <c r="H22" i="34"/>
  <c r="H14" i="34"/>
  <c r="I18" i="34"/>
  <c r="I24" i="34"/>
  <c r="E53" i="34"/>
  <c r="F53" i="34" s="1"/>
  <c r="I14" i="34"/>
  <c r="E41" i="34" s="1"/>
  <c r="F41" i="34" s="1"/>
  <c r="L117" i="34" s="1"/>
  <c r="E44" i="34"/>
  <c r="F44" i="34" s="1"/>
  <c r="M97" i="34"/>
  <c r="N97" i="34" s="1"/>
  <c r="D15" i="41" s="1"/>
  <c r="M99" i="34"/>
  <c r="N99" i="34" s="1"/>
  <c r="D17" i="41" s="1"/>
  <c r="M133" i="34"/>
  <c r="N133" i="34" s="1"/>
  <c r="D47" i="41" s="1"/>
  <c r="M113" i="34"/>
  <c r="N113" i="34" s="1"/>
  <c r="D29" i="41" s="1"/>
  <c r="M135" i="34"/>
  <c r="N135" i="34" s="1"/>
  <c r="D49" i="41" s="1"/>
  <c r="M131" i="34"/>
  <c r="N131" i="34" s="1"/>
  <c r="D45" i="41" s="1"/>
  <c r="M111" i="34"/>
  <c r="N111" i="34" s="1"/>
  <c r="D27" i="41" s="1"/>
  <c r="M152" i="33"/>
  <c r="M146" i="33"/>
  <c r="C129" i="34" s="1"/>
  <c r="M74" i="33"/>
  <c r="M75" i="33" s="1"/>
  <c r="M100" i="33"/>
  <c r="M101" i="33" s="1"/>
  <c r="C119" i="34" s="1"/>
  <c r="M51" i="33"/>
  <c r="M52" i="33" s="1"/>
  <c r="G64" i="33" s="1"/>
  <c r="M64" i="33" s="1"/>
  <c r="M25" i="33"/>
  <c r="M26" i="33" s="1"/>
  <c r="C99" i="34" s="1"/>
  <c r="B17" i="41" s="1"/>
  <c r="M34" i="33"/>
  <c r="M35" i="33" s="1"/>
  <c r="M17" i="33"/>
  <c r="M18" i="33" s="1"/>
  <c r="C97" i="34" s="1"/>
  <c r="B51" i="41"/>
  <c r="G51" i="41" s="1"/>
  <c r="C14" i="41"/>
  <c r="A4" i="37"/>
  <c r="F302" i="35"/>
  <c r="F304" i="35" s="1"/>
  <c r="F306" i="35" s="1"/>
  <c r="G49" i="19"/>
  <c r="I49" i="19" s="1"/>
  <c r="G34" i="19"/>
  <c r="I34" i="19" s="1"/>
  <c r="F18" i="35"/>
  <c r="F19" i="35" s="1"/>
  <c r="F22" i="35" s="1"/>
  <c r="F23" i="35" s="1"/>
  <c r="F215" i="35"/>
  <c r="F216" i="35" s="1"/>
  <c r="F217" i="35" s="1"/>
  <c r="F218" i="35" s="1"/>
  <c r="E145" i="35"/>
  <c r="F145" i="35" s="1"/>
  <c r="F157" i="35" s="1"/>
  <c r="F159" i="35" s="1"/>
  <c r="F116" i="35"/>
  <c r="F123" i="35" s="1"/>
  <c r="F124" i="35" s="1"/>
  <c r="F126" i="35" s="1"/>
  <c r="F281" i="35"/>
  <c r="F284" i="35" s="1"/>
  <c r="F285" i="35" s="1"/>
  <c r="G285" i="35" s="1"/>
  <c r="F280" i="35"/>
  <c r="G37" i="19"/>
  <c r="I37" i="19" s="1"/>
  <c r="G40" i="19"/>
  <c r="I40" i="19" s="1"/>
  <c r="G28" i="19"/>
  <c r="I28" i="19" s="1"/>
  <c r="F232" i="35"/>
  <c r="F234" i="35" s="1"/>
  <c r="F235" i="35" s="1"/>
  <c r="F328" i="35"/>
  <c r="F330" i="35" s="1"/>
  <c r="B47" i="41"/>
  <c r="F64" i="35"/>
  <c r="G199" i="35"/>
  <c r="F313" i="35"/>
  <c r="F314" i="35" s="1"/>
  <c r="F316" i="35" s="1"/>
  <c r="F51" i="35"/>
  <c r="F52" i="35" s="1"/>
  <c r="F54" i="35" s="1"/>
  <c r="F56" i="35" s="1"/>
  <c r="M127" i="34"/>
  <c r="N127" i="34" s="1"/>
  <c r="M125" i="34"/>
  <c r="N125" i="34" s="1"/>
  <c r="D39" i="41" s="1"/>
  <c r="H20" i="34"/>
  <c r="E57" i="34"/>
  <c r="F57" i="34" s="1"/>
  <c r="E59" i="34"/>
  <c r="F59" i="34" s="1"/>
  <c r="E49" i="34"/>
  <c r="F49" i="34" s="1"/>
  <c r="E55" i="34"/>
  <c r="F55" i="34" s="1"/>
  <c r="E64" i="34"/>
  <c r="F64" i="34" s="1"/>
  <c r="E61" i="34"/>
  <c r="F61" i="34" s="1"/>
  <c r="D79" i="35"/>
  <c r="F79" i="35" s="1"/>
  <c r="F81" i="35" s="1"/>
  <c r="F83" i="35" s="1"/>
  <c r="I20" i="34"/>
  <c r="H16" i="34"/>
  <c r="H12" i="34"/>
  <c r="B86" i="41"/>
  <c r="G86" i="41" s="1"/>
  <c r="G78" i="41"/>
  <c r="E52" i="34"/>
  <c r="F52" i="34" s="1"/>
  <c r="H107" i="34" s="1"/>
  <c r="B80" i="41"/>
  <c r="G80" i="41" s="1"/>
  <c r="G79" i="41"/>
  <c r="M109" i="34" l="1"/>
  <c r="N109" i="34" s="1"/>
  <c r="O109" i="34" s="1"/>
  <c r="M124" i="33"/>
  <c r="M125" i="33" s="1"/>
  <c r="G135" i="33" s="1"/>
  <c r="M135" i="33" s="1"/>
  <c r="M137" i="33" s="1"/>
  <c r="M138" i="33" s="1"/>
  <c r="C127" i="34" s="1"/>
  <c r="B41" i="41" s="1"/>
  <c r="M67" i="33"/>
  <c r="M68" i="33" s="1"/>
  <c r="C111" i="34" s="1"/>
  <c r="F267" i="35"/>
  <c r="F268" i="35" s="1"/>
  <c r="F271" i="35" s="1"/>
  <c r="F272" i="35" s="1"/>
  <c r="G272" i="35" s="1"/>
  <c r="G286" i="35" s="1"/>
  <c r="G288" i="35" s="1"/>
  <c r="H105" i="34"/>
  <c r="H103" i="34"/>
  <c r="L103" i="34" s="1"/>
  <c r="M103" i="34" s="1"/>
  <c r="N103" i="34" s="1"/>
  <c r="D21" i="41" s="1"/>
  <c r="H101" i="34"/>
  <c r="L101" i="34" s="1"/>
  <c r="M101" i="34" s="1"/>
  <c r="N101" i="34" s="1"/>
  <c r="D19" i="41" s="1"/>
  <c r="G21" i="37"/>
  <c r="C113" i="34"/>
  <c r="C29" i="37"/>
  <c r="G29" i="37" s="1"/>
  <c r="C123" i="34"/>
  <c r="B37" i="41" s="1"/>
  <c r="I107" i="34"/>
  <c r="I105" i="34"/>
  <c r="C107" i="34"/>
  <c r="B25" i="41" s="1"/>
  <c r="C17" i="37"/>
  <c r="G17" i="37" s="1"/>
  <c r="F338" i="35"/>
  <c r="F342" i="35" s="1"/>
  <c r="F344" i="35" s="1"/>
  <c r="F346" i="35" s="1"/>
  <c r="E360" i="35"/>
  <c r="F360" i="35" s="1"/>
  <c r="F365" i="35" s="1"/>
  <c r="F367" i="35" s="1"/>
  <c r="F369" i="35" s="1"/>
  <c r="C101" i="34"/>
  <c r="B19" i="41" s="1"/>
  <c r="C11" i="37"/>
  <c r="G11" i="37" s="1"/>
  <c r="L107" i="34"/>
  <c r="M107" i="34" s="1"/>
  <c r="N107" i="34" s="1"/>
  <c r="D25" i="41" s="1"/>
  <c r="O99" i="34"/>
  <c r="O133" i="34"/>
  <c r="G17" i="41"/>
  <c r="G47" i="41"/>
  <c r="O135" i="34"/>
  <c r="B49" i="41"/>
  <c r="G49" i="41" s="1"/>
  <c r="B55" i="41"/>
  <c r="G55" i="41" s="1"/>
  <c r="A5" i="38"/>
  <c r="B5" i="39" s="1"/>
  <c r="A42" i="37"/>
  <c r="D41" i="41"/>
  <c r="G41" i="41" s="1"/>
  <c r="O127" i="34"/>
  <c r="D53" i="41"/>
  <c r="G53" i="41" s="1"/>
  <c r="L119" i="34"/>
  <c r="G200" i="35"/>
  <c r="G201" i="35" s="1"/>
  <c r="G202" i="35" s="1"/>
  <c r="D165" i="35" s="1"/>
  <c r="M117" i="34"/>
  <c r="N117" i="34" s="1"/>
  <c r="D31" i="41" s="1"/>
  <c r="F65" i="35"/>
  <c r="F66" i="35" s="1"/>
  <c r="F68" i="35" s="1"/>
  <c r="G19" i="41" l="1"/>
  <c r="G25" i="41"/>
  <c r="L105" i="34"/>
  <c r="M105" i="34" s="1"/>
  <c r="N105" i="34" s="1"/>
  <c r="D23" i="41" s="1"/>
  <c r="C27" i="37"/>
  <c r="G27" i="37" s="1"/>
  <c r="G32" i="37" s="1"/>
  <c r="C49" i="37" s="1"/>
  <c r="D49" i="37" s="1"/>
  <c r="G49" i="37" s="1"/>
  <c r="C121" i="34"/>
  <c r="B35" i="41" s="1"/>
  <c r="O101" i="34"/>
  <c r="O107" i="34"/>
  <c r="B43" i="41"/>
  <c r="B23" i="41"/>
  <c r="O103" i="34"/>
  <c r="O111" i="34"/>
  <c r="B27" i="41"/>
  <c r="G27" i="41" s="1"/>
  <c r="K23" i="37"/>
  <c r="K32" i="37" s="1"/>
  <c r="H176" i="35"/>
  <c r="F165" i="35"/>
  <c r="F175" i="35" s="1"/>
  <c r="F176" i="35" s="1"/>
  <c r="F177" i="35" s="1"/>
  <c r="M119" i="34"/>
  <c r="N119" i="34" s="1"/>
  <c r="D33" i="41" s="1"/>
  <c r="L123" i="34"/>
  <c r="L121" i="34"/>
  <c r="M153" i="33"/>
  <c r="C131" i="34" s="1"/>
  <c r="G23" i="41" l="1"/>
  <c r="O105" i="34"/>
  <c r="B21" i="41"/>
  <c r="G21" i="41" s="1"/>
  <c r="M25" i="37"/>
  <c r="O113" i="34"/>
  <c r="B29" i="41"/>
  <c r="G29" i="41" s="1"/>
  <c r="L129" i="34"/>
  <c r="M129" i="34" s="1"/>
  <c r="N129" i="34" s="1"/>
  <c r="M123" i="34"/>
  <c r="N123" i="34" s="1"/>
  <c r="C53" i="37"/>
  <c r="M121" i="34"/>
  <c r="N121" i="34" s="1"/>
  <c r="M32" i="37" l="1"/>
  <c r="C55" i="37" s="1"/>
  <c r="D35" i="41"/>
  <c r="G35" i="41" s="1"/>
  <c r="O121" i="34"/>
  <c r="D37" i="41"/>
  <c r="G37" i="41" s="1"/>
  <c r="O123" i="34"/>
  <c r="B45" i="41"/>
  <c r="G45" i="41" s="1"/>
  <c r="O131" i="34"/>
  <c r="B33" i="41"/>
  <c r="G33" i="41" s="1"/>
  <c r="O119" i="34"/>
  <c r="C31" i="38"/>
  <c r="F31" i="38" s="1"/>
  <c r="H31" i="38" s="1"/>
  <c r="D43" i="41"/>
  <c r="G43" i="41" s="1"/>
  <c r="O129" i="34"/>
  <c r="B31" i="41"/>
  <c r="G31" i="41" s="1"/>
  <c r="O117" i="34"/>
  <c r="E32" i="37"/>
  <c r="C9" i="38" s="1"/>
  <c r="F9" i="38" s="1"/>
  <c r="C14" i="38"/>
  <c r="F15" i="38" s="1"/>
  <c r="I32" i="37"/>
  <c r="C28" i="38" s="1"/>
  <c r="C10" i="38"/>
  <c r="D53" i="37"/>
  <c r="G53" i="37" s="1"/>
  <c r="B93" i="41"/>
  <c r="G93" i="41" s="1"/>
  <c r="B95" i="41" l="1"/>
  <c r="G95" i="41" s="1"/>
  <c r="G96" i="41" s="1"/>
  <c r="D55" i="37"/>
  <c r="G55" i="37" s="1"/>
  <c r="G57" i="37" s="1"/>
  <c r="F60" i="37" s="1"/>
  <c r="F17" i="23" s="1"/>
  <c r="B62" i="41"/>
  <c r="G62" i="41" s="1"/>
  <c r="H9" i="38"/>
  <c r="B73" i="41"/>
  <c r="G73" i="41" s="1"/>
  <c r="H15" i="38"/>
  <c r="B39" i="41"/>
  <c r="G39" i="41" s="1"/>
  <c r="O125" i="34"/>
  <c r="G88" i="41" l="1"/>
  <c r="H35" i="38"/>
  <c r="B15" i="41" l="1"/>
  <c r="G15" i="41" s="1"/>
  <c r="G57" i="41" s="1"/>
  <c r="G97" i="41" s="1"/>
  <c r="O97" i="34" l="1"/>
  <c r="O144" i="34" s="1"/>
  <c r="F14" i="23" l="1"/>
  <c r="F19" i="23" l="1"/>
  <c r="F20" i="23" l="1"/>
  <c r="F22" i="23" s="1"/>
  <c r="F24" i="23" l="1"/>
  <c r="F26" i="23"/>
  <c r="F28" i="23" l="1"/>
  <c r="F31" i="23" s="1"/>
</calcChain>
</file>

<file path=xl/sharedStrings.xml><?xml version="1.0" encoding="utf-8"?>
<sst xmlns="http://schemas.openxmlformats.org/spreadsheetml/2006/main" count="1382" uniqueCount="695">
  <si>
    <t>Rm</t>
  </si>
  <si>
    <t xml:space="preserve">5 KMS   </t>
  </si>
  <si>
    <t>QTY</t>
  </si>
  <si>
    <t>rate/unit</t>
  </si>
  <si>
    <t>Hence percentage required to be added will be percentage</t>
  </si>
  <si>
    <t>%</t>
  </si>
  <si>
    <t>AMOUNT</t>
  </si>
  <si>
    <t>RATE</t>
  </si>
  <si>
    <t xml:space="preserve">4 - Labour charges for fixing as per corrugation </t>
  </si>
  <si>
    <t>Total</t>
  </si>
  <si>
    <t xml:space="preserve">Rs </t>
  </si>
  <si>
    <t xml:space="preserve">5 - Agencies profit 10 % </t>
  </si>
  <si>
    <t>Grand Total</t>
  </si>
  <si>
    <t>Rs</t>
  </si>
  <si>
    <t>Rs.</t>
  </si>
  <si>
    <t>Sand</t>
  </si>
  <si>
    <t>Say</t>
  </si>
  <si>
    <t xml:space="preserve">0.5625sq m                 @ Rate as per I N 15 of S W I </t>
  </si>
  <si>
    <t>chemical</t>
  </si>
  <si>
    <t>1 - Chemical as above  [ DRITOPEH ]</t>
  </si>
  <si>
    <t xml:space="preserve">2 - Spreading charges </t>
  </si>
  <si>
    <t>@</t>
  </si>
  <si>
    <t xml:space="preserve">1.02 sq m                 @ Rate as per I N 15 of S W I </t>
  </si>
  <si>
    <t>3 -  Butt joint in C M 1:4  with slurry finish</t>
  </si>
  <si>
    <t>1/2x0.15 x0.15x1.00 =0.01125/ 0.02=0.5625sqm</t>
  </si>
  <si>
    <t>sqm</t>
  </si>
  <si>
    <t>4-A</t>
  </si>
  <si>
    <t xml:space="preserve">Therefore rate per R M will be </t>
  </si>
  <si>
    <t>I N 27</t>
  </si>
  <si>
    <t xml:space="preserve">P &amp; C Parapet coping </t>
  </si>
  <si>
    <t>1 x 1.00 x 0.35 x 0.20                            = 0.70 cum</t>
  </si>
  <si>
    <t xml:space="preserve">1 x 1.00 x 0.40 x 0.075                          = 0.03 cum </t>
  </si>
  <si>
    <t xml:space="preserve">1 x 1/2 x 1.00 x 0.40 x 0.075                = 0.015 cum </t>
  </si>
  <si>
    <t xml:space="preserve">Total quantity                                         = 0.115 cum </t>
  </si>
  <si>
    <t xml:space="preserve">Rate as per I N 11 of S W I </t>
  </si>
  <si>
    <t>2 - Cement plastrer 20 mm tk in C M 1:4 with slurry</t>
  </si>
  <si>
    <t>1 x 1.00 x 2 X [ 0.20 +0.025 + 0.075 + 0.21] = 1.02</t>
  </si>
  <si>
    <t xml:space="preserve">P &amp; C half brick wall </t>
  </si>
  <si>
    <t>sand</t>
  </si>
  <si>
    <t>bricks</t>
  </si>
  <si>
    <t>583/B, MARKET YARD, GULTEKADI, PUNE-411037</t>
  </si>
  <si>
    <t>cum</t>
  </si>
  <si>
    <t>P &amp; A 15 mm tk plaster</t>
  </si>
  <si>
    <t xml:space="preserve">The centre falls under                                                      </t>
  </si>
  <si>
    <t>area</t>
  </si>
  <si>
    <t>X</t>
  </si>
  <si>
    <t>=</t>
  </si>
  <si>
    <t>MAHARASHTRA STATE  WAREHOUSING CORPORATION</t>
  </si>
  <si>
    <t>P &amp; a flush pointing in c.m.1:3 for stone masonary</t>
  </si>
  <si>
    <t xml:space="preserve">P &amp; L R.C.C. (M-20)   1:1.5:3 </t>
  </si>
  <si>
    <t xml:space="preserve">Consider 1.00 m lenghth </t>
  </si>
  <si>
    <t xml:space="preserve">Total </t>
  </si>
  <si>
    <t>S.N.</t>
  </si>
  <si>
    <t xml:space="preserve"> </t>
  </si>
  <si>
    <t>KM</t>
  </si>
  <si>
    <t>C.C. 1:5:10 for foundation &amp; beddding</t>
  </si>
  <si>
    <t>P &amp; C U.C.R masonary</t>
  </si>
  <si>
    <t xml:space="preserve">P &amp;C B.B. masonary in   plinth &amp; S.S </t>
  </si>
  <si>
    <t xml:space="preserve">P &amp; L R.C.C. 1:2:4 </t>
  </si>
  <si>
    <t>P &amp; F plain G.I Ridge of 24 gauge</t>
  </si>
  <si>
    <t xml:space="preserve">3 - Labour charges for cutting as per corrugation </t>
  </si>
  <si>
    <t>P &amp; A 20 mm tk plaster</t>
  </si>
  <si>
    <t>P &amp; F ploished shahabad for sills &amp; dado</t>
  </si>
  <si>
    <t>RATE ANALYSIS</t>
  </si>
  <si>
    <t>Leads &amp; rates of materials</t>
  </si>
  <si>
    <t>Materials &amp; Location</t>
  </si>
  <si>
    <t xml:space="preserve">Unit </t>
  </si>
  <si>
    <t>Leads</t>
  </si>
  <si>
    <t xml:space="preserve">Charges </t>
  </si>
  <si>
    <t>Actual</t>
  </si>
  <si>
    <t>Initial</t>
  </si>
  <si>
    <t>Lead</t>
  </si>
  <si>
    <t>Diff</t>
  </si>
  <si>
    <t>Factor</t>
  </si>
  <si>
    <t>Net</t>
  </si>
  <si>
    <t>P L</t>
  </si>
  <si>
    <t xml:space="preserve">Metal up to 40 mm </t>
  </si>
  <si>
    <t>Metal above 40 mm</t>
  </si>
  <si>
    <t>Rubble</t>
  </si>
  <si>
    <t>Bricks</t>
  </si>
  <si>
    <t>Hard Murum</t>
  </si>
  <si>
    <t>Soft Murum</t>
  </si>
  <si>
    <t>Royalty charges</t>
  </si>
  <si>
    <t>Cum</t>
  </si>
  <si>
    <t>Metal</t>
  </si>
  <si>
    <t>Rubbble</t>
  </si>
  <si>
    <t xml:space="preserve">Royalty    </t>
  </si>
  <si>
    <t>Royalty</t>
  </si>
  <si>
    <t>Consider 1.00 m lenghth &amp; 0.60 m wide i.e.</t>
  </si>
  <si>
    <t>1.10 x 0.60 x 1.00 = 0.66 sq m including lap</t>
  </si>
  <si>
    <t>2 - Transportation                                          M.R.</t>
  </si>
  <si>
    <t xml:space="preserve">TOTAL </t>
  </si>
  <si>
    <t>Rate</t>
  </si>
  <si>
    <t>UNIT</t>
  </si>
  <si>
    <t>TOTAL</t>
  </si>
  <si>
    <t>MAHARASHTRA STATE WAREHOUSING CORPORATION</t>
  </si>
  <si>
    <t>I.N.</t>
  </si>
  <si>
    <t>DESCRIPTON OF ITEM</t>
  </si>
  <si>
    <t>I.N./ P.N</t>
  </si>
  <si>
    <t>LEAD CHARGES</t>
  </si>
  <si>
    <t>SAND</t>
  </si>
  <si>
    <t>METAL</t>
  </si>
  <si>
    <t>TOTAL    RS</t>
  </si>
  <si>
    <t>RMT</t>
  </si>
  <si>
    <t>Amount</t>
  </si>
  <si>
    <t>Quality control testing Charges</t>
  </si>
  <si>
    <t xml:space="preserve">Vat  on completed item of </t>
  </si>
  <si>
    <t>Bldg. work</t>
  </si>
  <si>
    <t>Road work</t>
  </si>
  <si>
    <t>Total Rs.</t>
  </si>
  <si>
    <t>Based on D S R Nasik Region 2008-2009</t>
  </si>
  <si>
    <t>226.19/1000 x 475</t>
  </si>
  <si>
    <t xml:space="preserve">MEASUREMENT SHEET </t>
  </si>
  <si>
    <t>NO.S</t>
  </si>
  <si>
    <t>LENGTH</t>
  </si>
  <si>
    <t>BREDTH</t>
  </si>
  <si>
    <t>DEPTH /</t>
  </si>
  <si>
    <t>Unit</t>
  </si>
  <si>
    <t>HIGHT</t>
  </si>
  <si>
    <t>QUANTITY</t>
  </si>
  <si>
    <t>SAY</t>
  </si>
  <si>
    <t>M.T.</t>
  </si>
  <si>
    <t xml:space="preserve"> TOTAL</t>
  </si>
  <si>
    <t xml:space="preserve">SAY </t>
  </si>
  <si>
    <t>LEADS &amp; RATES OF MATERIALS</t>
  </si>
  <si>
    <t>MATERIAL &amp; LOCATION</t>
  </si>
  <si>
    <t xml:space="preserve"> UNIT</t>
  </si>
  <si>
    <t>NET</t>
  </si>
  <si>
    <t xml:space="preserve">SAND                                                          </t>
  </si>
  <si>
    <t xml:space="preserve"> CU M</t>
  </si>
  <si>
    <t xml:space="preserve">RUBBLE                                                </t>
  </si>
  <si>
    <t xml:space="preserve">BRICKS                                                               </t>
  </si>
  <si>
    <t xml:space="preserve">HARD MURUM                                           </t>
  </si>
  <si>
    <t xml:space="preserve">SOFT MURUM                                            </t>
  </si>
  <si>
    <t xml:space="preserve">ROYALTY CHARGES </t>
  </si>
  <si>
    <t>MT</t>
  </si>
  <si>
    <t>0</t>
  </si>
  <si>
    <t>RUBBLE</t>
  </si>
  <si>
    <t>BRICKS</t>
  </si>
  <si>
    <t>6 TO 11</t>
  </si>
  <si>
    <t>Kgs</t>
  </si>
  <si>
    <t xml:space="preserve">Name of work :- Prov. Const. of 10000 litre cap. under ground water storage tank  in W H Complex at KALWAN, Dist.Nasik. </t>
  </si>
  <si>
    <t>Actual lead</t>
  </si>
  <si>
    <t>LEAD DIFF.</t>
  </si>
  <si>
    <t xml:space="preserve">CRUSHED METAL  UPTO 40 MM                                          </t>
  </si>
  <si>
    <t xml:space="preserve">  METAL ABOVE 40 MM                                     </t>
  </si>
  <si>
    <t>1000 NOS</t>
  </si>
  <si>
    <t xml:space="preserve">CEMENT                                                  AV. </t>
  </si>
  <si>
    <t xml:space="preserve">BAG </t>
  </si>
  <si>
    <t xml:space="preserve">TOR steel + 4% VAT                              AV. </t>
  </si>
  <si>
    <t xml:space="preserve">Structural steel   + 4 % VAT                  AV. </t>
  </si>
  <si>
    <t>11-a</t>
  </si>
  <si>
    <t xml:space="preserve">Tubularl steel   + 4 % VAT                  AV. </t>
  </si>
  <si>
    <t xml:space="preserve">AC SHEET   Pune DSR-165                    AV. </t>
  </si>
  <si>
    <t xml:space="preserve">SQ M </t>
  </si>
  <si>
    <t xml:space="preserve">M.S.Channel </t>
  </si>
  <si>
    <t>KG</t>
  </si>
  <si>
    <t>Wind ties  1.90 kg / mtr</t>
  </si>
  <si>
    <t>M.S.angle sill   4.68 kg / mtr.</t>
  </si>
  <si>
    <t>M.S.ladder  18.40 kg/ mtr.</t>
  </si>
  <si>
    <t xml:space="preserve">V1 &amp; V2 vents  43.33 kg/m2. </t>
  </si>
  <si>
    <t>SQM.</t>
  </si>
  <si>
    <t xml:space="preserve">Building </t>
  </si>
  <si>
    <t xml:space="preserve">Road </t>
  </si>
  <si>
    <t>Hence percentage required to be added will be  percentage</t>
  </si>
  <si>
    <t>P &amp; A 12 mm tk plaster</t>
  </si>
  <si>
    <t xml:space="preserve"> BASIC  RATE</t>
  </si>
  <si>
    <t>LIFTS &amp; RA</t>
  </si>
  <si>
    <t>*</t>
  </si>
  <si>
    <t>Sr.Regional Manager</t>
  </si>
  <si>
    <t>Name of  work  :- Providing  Repairs &amp; Renovation to  office Building   H-14  JALGAON</t>
  </si>
  <si>
    <t>Rate Analysis</t>
  </si>
  <si>
    <t>Based On DSR Jalgaon Dist.2012-2013</t>
  </si>
  <si>
    <t>Consider 1.00 cu m quantity</t>
  </si>
  <si>
    <t>1 - Basic rate  I.N. 1146 / P N 330</t>
  </si>
  <si>
    <r>
      <t>2 - Lead Charges 10</t>
    </r>
    <r>
      <rPr>
        <b/>
        <sz val="10"/>
        <color indexed="10"/>
        <rFont val="Arial"/>
        <family val="2"/>
      </rPr>
      <t xml:space="preserve"> </t>
    </r>
    <r>
      <rPr>
        <sz val="10"/>
        <color indexed="10"/>
        <rFont val="Arial"/>
        <family val="2"/>
      </rPr>
      <t xml:space="preserve"> </t>
    </r>
    <r>
      <rPr>
        <sz val="10"/>
        <rFont val="Arial"/>
        <family val="2"/>
      </rPr>
      <t xml:space="preserve">Kms  </t>
    </r>
  </si>
  <si>
    <t>3 - Spreading charges  I N 1151 / P N 330</t>
  </si>
  <si>
    <t xml:space="preserve">Total  Rs </t>
  </si>
  <si>
    <t>4 - For compaction  20 % OF  H.M.cost</t>
  </si>
  <si>
    <t>Grand total Rs.</t>
  </si>
  <si>
    <t xml:space="preserve">Deduction for stacking charges </t>
  </si>
  <si>
    <t>I N  9 / P N 573</t>
  </si>
  <si>
    <t>Net Rs</t>
  </si>
  <si>
    <t>Therefore rate per cu m  will be  say       Rs</t>
  </si>
  <si>
    <t>Total Rs</t>
  </si>
  <si>
    <t>Junior Engineer                Sectional Engineer             Dy. Manager (Engg)</t>
  </si>
  <si>
    <t xml:space="preserve">MSWC  Jalgaon                    MSWC Nashik                 MSWC Nashik       </t>
  </si>
  <si>
    <t xml:space="preserve">  MSWC Nashik </t>
  </si>
  <si>
    <t xml:space="preserve">I.N.1 ( I ) </t>
  </si>
  <si>
    <t>Providing soling below footing</t>
  </si>
  <si>
    <t xml:space="preserve">consider 1.00 cum </t>
  </si>
  <si>
    <t>1-  Supply Rate  (1140/282</t>
  </si>
  <si>
    <t xml:space="preserve">2 - Lead of 5 Kms </t>
  </si>
  <si>
    <t>3 - Labour charge for laying 1153/283</t>
  </si>
  <si>
    <t xml:space="preserve">4- Add 32% </t>
  </si>
  <si>
    <t xml:space="preserve">Total Rs </t>
  </si>
  <si>
    <t>Grand Total Rs</t>
  </si>
  <si>
    <t xml:space="preserve">SAY RS </t>
  </si>
  <si>
    <t>I.N.5</t>
  </si>
  <si>
    <t>P &amp; L 35 cm wide d.p.c.layer at plinth</t>
  </si>
  <si>
    <t>consider 1.00 sqm area</t>
  </si>
  <si>
    <t>1- Tarfelt                       MR</t>
  </si>
  <si>
    <t xml:space="preserve">2 - Shalibond @ 1.00. kg per sq m @ M R </t>
  </si>
  <si>
    <t xml:space="preserve">3 - Nails , labour charges, transporation  etc       L S </t>
  </si>
  <si>
    <t>Add for Agencies profit 10 %</t>
  </si>
  <si>
    <t>E 24</t>
  </si>
  <si>
    <t>I.N.20.A</t>
  </si>
  <si>
    <r>
      <t xml:space="preserve">P &amp; f Steel rolling shutter </t>
    </r>
    <r>
      <rPr>
        <sz val="8"/>
        <color indexed="10"/>
        <rFont val="Arial"/>
        <family val="2"/>
      </rPr>
      <t>20</t>
    </r>
    <r>
      <rPr>
        <sz val="8"/>
        <rFont val="Arial"/>
        <family val="2"/>
      </rPr>
      <t xml:space="preserve"> gauge</t>
    </r>
  </si>
  <si>
    <t xml:space="preserve">Qty </t>
  </si>
  <si>
    <t>1- Basic rate as per D.S.R.  I N 354  P N 128</t>
  </si>
  <si>
    <t xml:space="preserve">2 - Add  for central lock                M R           </t>
  </si>
  <si>
    <t>3 - Add for painting not considered in basic rate</t>
  </si>
  <si>
    <t xml:space="preserve"> 1x 2 x 1.14 x 2.20 x 2.55 = 12.79</t>
  </si>
  <si>
    <t xml:space="preserve"> 1x 1 x  2.40 x 1.25           =   3.13 </t>
  </si>
  <si>
    <t xml:space="preserve">Total       = 15.92 sq m </t>
  </si>
  <si>
    <t>I.N. 247/ P N 102</t>
  </si>
  <si>
    <t xml:space="preserve">4. M R Diff for weight of   R S </t>
  </si>
  <si>
    <t xml:space="preserve">5. Handles </t>
  </si>
  <si>
    <t>I.N.20.B</t>
  </si>
  <si>
    <r>
      <t xml:space="preserve">P &amp; f Steel rolling shutter </t>
    </r>
    <r>
      <rPr>
        <sz val="8"/>
        <color indexed="10"/>
        <rFont val="Arial"/>
        <family val="2"/>
      </rPr>
      <t>20</t>
    </r>
    <r>
      <rPr>
        <sz val="8"/>
        <rFont val="Arial"/>
        <family val="2"/>
      </rPr>
      <t xml:space="preserve"> gauge with Mechanical gear arrangement</t>
    </r>
  </si>
  <si>
    <t>1- Basic rate as per D.S.R.  I N 355 P N 128</t>
  </si>
  <si>
    <t>3 - Add for painting  not considered in basic rate</t>
  </si>
  <si>
    <t xml:space="preserve"> 1x 2 x 1.14 x 3.60 x 4.00 = 32.83</t>
  </si>
  <si>
    <t xml:space="preserve"> 1x 1 x  2.40 x 1.25           =   4.75 </t>
  </si>
  <si>
    <t xml:space="preserve">Total       = 37.58 sq m </t>
  </si>
  <si>
    <t>I.N.20.C</t>
  </si>
  <si>
    <r>
      <t xml:space="preserve">P &amp; f Steel rolling with grilled  shutter </t>
    </r>
    <r>
      <rPr>
        <sz val="8"/>
        <color indexed="10"/>
        <rFont val="Arial"/>
        <family val="2"/>
      </rPr>
      <t>20</t>
    </r>
    <r>
      <rPr>
        <sz val="8"/>
        <rFont val="Arial"/>
        <family val="2"/>
      </rPr>
      <t xml:space="preserve"> gauge </t>
    </r>
  </si>
  <si>
    <t>Quantity</t>
  </si>
  <si>
    <t>For area 2.10 x 2.55 = 5.355 Sq.M</t>
  </si>
  <si>
    <t>[5.355 - ( 2.25 x 1.7 )] = 1.53</t>
  </si>
  <si>
    <t>2- Add for grilled Rolling Shutter</t>
  </si>
  <si>
    <t>[ 2.25 x 1.7 ] = 3.82 Sq.M</t>
  </si>
  <si>
    <t>MR Rs 90 / Sq.Feet = 90 x 10.76 = 968.40</t>
  </si>
  <si>
    <t xml:space="preserve">3 - Add  for central lock                M R           </t>
  </si>
  <si>
    <t>4 - Add for painting if not considered in basic rate</t>
  </si>
  <si>
    <t>[15.92 - 3.82 ] = 12.10 Sq.M</t>
  </si>
  <si>
    <t>4-A - Add for painting for grilled work</t>
  </si>
  <si>
    <t xml:space="preserve">per sq m rate will be   </t>
  </si>
  <si>
    <t xml:space="preserve">Say </t>
  </si>
  <si>
    <t>I.N.21</t>
  </si>
  <si>
    <t xml:space="preserve">P , f &amp; f steel ventilors V1 </t>
  </si>
  <si>
    <t xml:space="preserve">Consider 0.36 sq m area </t>
  </si>
  <si>
    <t>1 - Basic rate   I.N. 365 / 131</t>
  </si>
  <si>
    <t>2 - Add for M.S.flat  19mm x 3mm</t>
  </si>
  <si>
    <t xml:space="preserve"> For 0.36 sq m  =    2.40 M   </t>
  </si>
  <si>
    <t>Weight 0.45 Kg/ Rm                           =  1.08    Kgs</t>
  </si>
  <si>
    <t>Page No. I N 18 / P.N 13</t>
  </si>
  <si>
    <t xml:space="preserve">3 - Add G.I.wiremesh 18G x 6 sqmm </t>
  </si>
  <si>
    <t xml:space="preserve"> M R                 </t>
  </si>
  <si>
    <t>4 - Painting three coats for G.I.wire mesh</t>
  </si>
  <si>
    <t xml:space="preserve">1/2 x 2 x 1.00 x 1.00 = 1.00 sq m </t>
  </si>
  <si>
    <t xml:space="preserve">5 - Add for 12 mm sq bars </t>
  </si>
  <si>
    <t xml:space="preserve"> For 0.36 sq m  =  7 x 0.60 + 4 x 0.10 = 4.60 Rm</t>
  </si>
  <si>
    <t xml:space="preserve">Weight 1.13  Kg/ Rm                          </t>
  </si>
  <si>
    <t xml:space="preserve">Kgs </t>
  </si>
  <si>
    <t xml:space="preserve">6 - Add for fixing charges of wire mesh </t>
  </si>
  <si>
    <t xml:space="preserve">                                                                                     M R                  </t>
  </si>
  <si>
    <t xml:space="preserve">7 - Add for sundries, overheads &amp; agencies profit </t>
  </si>
  <si>
    <t xml:space="preserve">      over  [ 3 &amp; 6 ]     10 %     </t>
  </si>
  <si>
    <t xml:space="preserve">Rate per sq m will be RS. </t>
  </si>
  <si>
    <t xml:space="preserve">Qty of steel required per sqm </t>
  </si>
  <si>
    <t>+</t>
  </si>
  <si>
    <t>I N 21 B</t>
  </si>
  <si>
    <t>P &amp; F Z type  V2 ventilators</t>
  </si>
  <si>
    <t>Calculation for 1.00 x 0.60 size = 0.60 Sq.M</t>
  </si>
  <si>
    <t xml:space="preserve">1- Structural steel   </t>
  </si>
  <si>
    <t>2- Labour charges as per M.R.</t>
  </si>
  <si>
    <t xml:space="preserve">Fixing charges </t>
  </si>
  <si>
    <t>3- Glass panes 3mm th. 0.60 sq.m.</t>
  </si>
  <si>
    <t>I.N. 380/P.135</t>
  </si>
  <si>
    <t xml:space="preserve">4 - Add G.I.wiremesh 18G x 6 sqmm </t>
  </si>
  <si>
    <t xml:space="preserve"> M R                  </t>
  </si>
  <si>
    <t xml:space="preserve">Total  Rate for 1 sqmtr. </t>
  </si>
  <si>
    <t>QTY OF 1.00 X 0.60 MTR.V2 VENT.</t>
  </si>
  <si>
    <t>F76</t>
  </si>
  <si>
    <t>MTR.</t>
  </si>
  <si>
    <t xml:space="preserve">TOTAL  QTY </t>
  </si>
  <si>
    <t>TOTAL WT.</t>
  </si>
  <si>
    <t>T6</t>
  </si>
  <si>
    <t xml:space="preserve">12MM SQ.BAR </t>
  </si>
  <si>
    <t xml:space="preserve">HOLD FAST </t>
  </si>
  <si>
    <t xml:space="preserve">ON G.I.MESH </t>
  </si>
  <si>
    <t>M.S.FLAT 19 X 3 MM</t>
  </si>
  <si>
    <t>GRAND WT.</t>
  </si>
  <si>
    <t xml:space="preserve">Add wastage </t>
  </si>
  <si>
    <t>I N 24</t>
  </si>
  <si>
    <t>3.762 kg / sqm</t>
  </si>
  <si>
    <t>1 - Basic rate  I.N.290 / P N 394</t>
  </si>
  <si>
    <t>Therefore rate per sq m will be</t>
  </si>
  <si>
    <t xml:space="preserve">I N26 </t>
  </si>
  <si>
    <t>P &amp; FM S wind ties 40 x 6 mm</t>
  </si>
  <si>
    <t>weight 1.90 kg / Rm  i.e. 1.90 Kgs</t>
  </si>
  <si>
    <t xml:space="preserve">2 - Labour charges for cutting, drilling holes  M R  </t>
  </si>
  <si>
    <t>3 - Labour charges for fixing                         M R</t>
  </si>
  <si>
    <t xml:space="preserve">4 - Painting three coats </t>
  </si>
  <si>
    <t>1 - Brickwork in CM 1:4</t>
  </si>
  <si>
    <t xml:space="preserve">Add cement diff. bet. CM 1:4 &amp; 1:6 ( 2.60 - 1.44)=1.16 Bag </t>
  </si>
  <si>
    <t xml:space="preserve">[1.16 x0.115] = </t>
  </si>
  <si>
    <t>I.N.31</t>
  </si>
  <si>
    <t>P oversize &amp; size metal filling in plinth</t>
  </si>
  <si>
    <t xml:space="preserve">Consider 1.00 cu m quantity of 60  mm O.S.metal </t>
  </si>
  <si>
    <t>1 - Basic rate  I.N.1140/ P N 282</t>
  </si>
  <si>
    <t xml:space="preserve">2 - Lead Charges 10  Kms </t>
  </si>
  <si>
    <t>3 - Spreading charges  I N 1153/283</t>
  </si>
  <si>
    <t xml:space="preserve">4 - Add for compaction  32 % </t>
  </si>
  <si>
    <t>Grand Total Rs.</t>
  </si>
  <si>
    <t>Deduction for stacking charges</t>
  </si>
  <si>
    <t>I N 7 / P N 498</t>
  </si>
  <si>
    <t>Therefore rate per cu m  will be  say Rs</t>
  </si>
  <si>
    <t xml:space="preserve">Consider 1.00 cu m quantity of 40 mm O.S.metal </t>
  </si>
  <si>
    <t>1 - Basic rate  I.N.1142/ P N 282</t>
  </si>
  <si>
    <t xml:space="preserve">2 - Lead Charges   10 Kms </t>
  </si>
  <si>
    <t>3 - Spreading charges  1152/283</t>
  </si>
  <si>
    <t xml:space="preserve">Say Rs </t>
  </si>
  <si>
    <t>I.N.33-B</t>
  </si>
  <si>
    <t xml:space="preserve">Laying charges for form work, running vibrator, </t>
  </si>
  <si>
    <t>laying suction matt, dewatering etc.</t>
  </si>
  <si>
    <t xml:space="preserve">Consider 1.0 sq m area </t>
  </si>
  <si>
    <t xml:space="preserve">1 - Market rate as per .quotation for above  </t>
  </si>
  <si>
    <t>2 - Transportation charges to &amp; fro  100        Kms</t>
  </si>
  <si>
    <t xml:space="preserve">    </t>
  </si>
  <si>
    <t>3- Generator Hire charges 5x2000=18000</t>
  </si>
  <si>
    <t xml:space="preserve">4. Diesel charges 5 days * 20 ltr/ day </t>
  </si>
  <si>
    <t xml:space="preserve">5 - Overheads &amp; contractors pfofit      10 % </t>
  </si>
  <si>
    <t>Therefore rate per sq  m  will be  say Rs</t>
  </si>
  <si>
    <t>I.N.33-C</t>
  </si>
  <si>
    <t xml:space="preserve">Labour charges for groove cutting </t>
  </si>
  <si>
    <t>Consider 1.00 R m lenghth</t>
  </si>
  <si>
    <t xml:space="preserve">1 - Market rate as per .quotation ( Nagpur S.D.) </t>
  </si>
  <si>
    <t xml:space="preserve">2- Generator hire charges </t>
  </si>
  <si>
    <t xml:space="preserve">3. Diesel charges </t>
  </si>
  <si>
    <t xml:space="preserve">2 - Overheads &amp; contractors pfofit      10 % </t>
  </si>
  <si>
    <t>Therefore rate per R  m  will be  say Rs</t>
  </si>
  <si>
    <t>I.N.33-D</t>
  </si>
  <si>
    <t xml:space="preserve">P &amp; L high abrasion resistenet non metallic </t>
  </si>
  <si>
    <t xml:space="preserve">3 - Overheads &amp; contractors pfofit      10 % </t>
  </si>
  <si>
    <t>I.N.34</t>
  </si>
  <si>
    <t xml:space="preserve">P &amp; F  M.S.angle sill </t>
  </si>
  <si>
    <t>Consider 2.70  m length</t>
  </si>
  <si>
    <t>1 - Angle 50x50 x6 mm = 2.7 x 4.5 = 12.15 kgs</t>
  </si>
  <si>
    <t xml:space="preserve">      Add for hold fasts                    =   0.50  Kgs</t>
  </si>
  <si>
    <t xml:space="preserve">       Total weight                             =  12.65 Kgs</t>
  </si>
  <si>
    <t xml:space="preserve">Therefore rate per RM will be  </t>
  </si>
  <si>
    <t>I N 37-B</t>
  </si>
  <si>
    <t xml:space="preserve">P &amp;F M.S.ladder </t>
  </si>
  <si>
    <t xml:space="preserve">Consider  4.00 m lenghth </t>
  </si>
  <si>
    <t xml:space="preserve">1 - M.S.angle 50 x 50 x6 mm </t>
  </si>
  <si>
    <t xml:space="preserve"> [2 x 4.00 + 2 x 060 + 2 x 0.73 + 2 x 0.85 = 12.36Rm</t>
  </si>
  <si>
    <t>Weight                           12.36 x 4.5       = 55.62 Kgs</t>
  </si>
  <si>
    <t xml:space="preserve">2 - M.S. bar 20 mm dia @ 30 cm c/c </t>
  </si>
  <si>
    <t xml:space="preserve">     15 x 0.45 x 2.50                                 = 16.88 Kgs</t>
  </si>
  <si>
    <t xml:space="preserve">3 - Hold fasts 12mm dia </t>
  </si>
  <si>
    <t xml:space="preserve">     2 x 3 x 0.20 x 0.90                             =   1.08 Kgs</t>
  </si>
  <si>
    <t xml:space="preserve">Total quantity                                         = 73.58 kgs </t>
  </si>
  <si>
    <t>Rate as per I N  35 of S W I</t>
  </si>
  <si>
    <t xml:space="preserve">4 - C.C. 1:2:4  for bed blocks </t>
  </si>
  <si>
    <t xml:space="preserve">6 x 0.20 x 0.20 x 0.35 = 0.08 cum </t>
  </si>
  <si>
    <t>Rate as per I N 12 of S W I</t>
  </si>
  <si>
    <t xml:space="preserve">Grand Total    Rs </t>
  </si>
  <si>
    <t>Therefore rate per R M will be 4846.13/4.00  Rs</t>
  </si>
  <si>
    <r>
      <rPr>
        <b/>
        <sz val="10"/>
        <rFont val="Arial"/>
        <family val="2"/>
      </rPr>
      <t>Item No (11)</t>
    </r>
    <r>
      <rPr>
        <sz val="10"/>
        <rFont val="Arial"/>
        <family val="2"/>
      </rPr>
      <t xml:space="preserve"> :-Providing Hard Murum cohesive non-swelling materials in plinth in layers of 20 cms etc. complete as directed. [ Only compacted thickness is payable ][Rd.23/202 &amp; Rd.28/205].</t>
    </r>
  </si>
  <si>
    <t>C.C. 1:3:6 for foundation &amp; beddding</t>
  </si>
  <si>
    <t xml:space="preserve"> Pay load</t>
  </si>
  <si>
    <t xml:space="preserve">Factor </t>
  </si>
  <si>
    <t>Mumcipal Council Area</t>
  </si>
  <si>
    <t>Dedn for SCADA</t>
  </si>
  <si>
    <t>Dedn Scada</t>
  </si>
  <si>
    <t>ADD % for Area</t>
  </si>
  <si>
    <t>TOTAL OF RATE</t>
  </si>
  <si>
    <t>12 TO 13</t>
  </si>
  <si>
    <t>Lead in KM</t>
  </si>
  <si>
    <t>Rate /unit</t>
  </si>
  <si>
    <t>Item.. No.</t>
  </si>
  <si>
    <t xml:space="preserve"> Description of item </t>
  </si>
  <si>
    <t>Executed Quantity</t>
  </si>
  <si>
    <t xml:space="preserve"> Quantity of Material for Royalty   Cu. M</t>
  </si>
  <si>
    <t>Remark</t>
  </si>
  <si>
    <t>Cement in bags</t>
  </si>
  <si>
    <t>Crusher METAL</t>
  </si>
  <si>
    <t xml:space="preserve">MURUM </t>
  </si>
  <si>
    <t>Royalty Charges  Statements</t>
  </si>
  <si>
    <t>Sr. No</t>
  </si>
  <si>
    <t>Particular</t>
  </si>
  <si>
    <t>Requar Quantity in Cum</t>
  </si>
  <si>
    <t>Requar Quantity in Brass</t>
  </si>
  <si>
    <t xml:space="preserve"> Royalty Charges @ Rs 400 / Brass</t>
  </si>
  <si>
    <t>METAL Hand broken</t>
  </si>
  <si>
    <t>Total Amount Rs.</t>
  </si>
  <si>
    <t xml:space="preserve">                         Jr.  Engineer </t>
  </si>
  <si>
    <t>Sectional Engineer</t>
  </si>
  <si>
    <t xml:space="preserve"> Dy. Manager (Engg.)</t>
  </si>
  <si>
    <t>MSWC  Nasik</t>
  </si>
  <si>
    <t>583/B, Market Yard, Gultekadi, Pune 411 037.</t>
  </si>
  <si>
    <t>Statement showing the details of requirement of Lab. Tests to be carried out:-</t>
  </si>
  <si>
    <t>Sr. No.</t>
  </si>
  <si>
    <t>Particulars</t>
  </si>
  <si>
    <t xml:space="preserve">Quantity </t>
  </si>
  <si>
    <t>Tests to be carried out</t>
  </si>
  <si>
    <t>Nos. of tests</t>
  </si>
  <si>
    <t>Rate per test</t>
  </si>
  <si>
    <t>Remarks</t>
  </si>
  <si>
    <t>Cement</t>
  </si>
  <si>
    <t>Bags</t>
  </si>
  <si>
    <t>Fineness,  Standard Consistency, Setting Time (Initial &amp; Final ), Compressive strength, Soundness</t>
  </si>
  <si>
    <t>One test for each
consignment of 150 MT &amp;
part thereof.</t>
  </si>
  <si>
    <t>1/540</t>
  </si>
  <si>
    <r>
      <t>Fineness Modulus, silt &amp; clay</t>
    </r>
    <r>
      <rPr>
        <sz val="10"/>
        <color indexed="10"/>
        <rFont val="Arial"/>
        <family val="2"/>
      </rPr>
      <t xml:space="preserve"> </t>
    </r>
    <r>
      <rPr>
        <sz val="10"/>
        <rFont val="Arial"/>
        <family val="2"/>
      </rPr>
      <t>content.</t>
    </r>
  </si>
  <si>
    <t>At Beginning &amp; if there is
change in source.</t>
  </si>
  <si>
    <t>10/540</t>
  </si>
  <si>
    <t>Chloride &amp; Sulphate Content.</t>
  </si>
  <si>
    <t>11/540</t>
  </si>
  <si>
    <t>Silt Factor.</t>
  </si>
  <si>
    <t>12/540</t>
  </si>
  <si>
    <t>i)Mix Design</t>
  </si>
  <si>
    <t>At beginning &amp; if there is
change in source of material</t>
  </si>
  <si>
    <t>20/541</t>
  </si>
  <si>
    <t>i) set-0-5 cu.m - 1 set</t>
  </si>
  <si>
    <t>19/541</t>
  </si>
  <si>
    <t>ii) set-6-15 cu.m - 2 set</t>
  </si>
  <si>
    <t>iii) set-16-30 cu.m - 3 set</t>
  </si>
  <si>
    <t>iv) set-31-50 cu.m - 4 set</t>
  </si>
  <si>
    <t>v) set-51 cum and above one set for eash additinal 50 cu.m</t>
  </si>
  <si>
    <t>Earthwork For embankment (H.M/S.M.)</t>
  </si>
  <si>
    <t>i) Sieve Analysis.</t>
  </si>
  <si>
    <t>3/540</t>
  </si>
  <si>
    <t>ii) Liquid limit &amp; plastic Limit.</t>
  </si>
  <si>
    <t>1 test per 400 Cum.</t>
  </si>
  <si>
    <t>30/542</t>
  </si>
  <si>
    <t>iii) Compaction Test ( Proctor Density ).</t>
  </si>
  <si>
    <t>1 test per 1000 Sq.m</t>
  </si>
  <si>
    <t>31/542</t>
  </si>
  <si>
    <t>iv) C.B.R. Test ( Lab ) With compaction test.</t>
  </si>
  <si>
    <t>32/542</t>
  </si>
  <si>
    <t>vi) C.B.R. Test ( Field Determination Test) Excluding
Transportation.As per IS 2720 Part XXXI</t>
  </si>
  <si>
    <t>33/542</t>
  </si>
  <si>
    <t>v) Field Density by Sand replacement method.</t>
  </si>
  <si>
    <t>36/542</t>
  </si>
  <si>
    <t>5/540</t>
  </si>
  <si>
    <t>One test per 200 Cu.m</t>
  </si>
  <si>
    <t>2/540</t>
  </si>
  <si>
    <t>ii) Gradation.</t>
  </si>
  <si>
    <t>Steel</t>
  </si>
  <si>
    <t>Yield stress, ultimate tensile stress, elongation, weight per running meter</t>
  </si>
  <si>
    <t>1 test per  5 M.T. and one for each dia. Of use bar</t>
  </si>
  <si>
    <t>77/544</t>
  </si>
  <si>
    <t>Masonry stones</t>
  </si>
  <si>
    <t>one test per source</t>
  </si>
  <si>
    <t>28/541</t>
  </si>
  <si>
    <t>(One set of 15 Bricks)
For 50,000 Nos and part
thereof.</t>
  </si>
  <si>
    <t>13/540</t>
  </si>
  <si>
    <t>( A Govt. Public Sector Undertaking)</t>
  </si>
  <si>
    <t>SCHEDULE - 'C'</t>
  </si>
  <si>
    <t>ITEM WISE STANDARD SPECIFICATIONS</t>
  </si>
  <si>
    <t xml:space="preserve">             Specifications for the items of work to be carried out by the Contractor as given below</t>
  </si>
  <si>
    <t>Item No.</t>
  </si>
  <si>
    <t>Items of work</t>
  </si>
  <si>
    <t>Standard Specifications  as  per Specification Book published by Govt. of Maharashtra Volume I-1979 and Volume -II 1981 Edition</t>
  </si>
  <si>
    <t>Additional specification if any</t>
  </si>
  <si>
    <t>Specification No.</t>
  </si>
  <si>
    <t>Page No.</t>
  </si>
  <si>
    <t>MORTH 301</t>
  </si>
  <si>
    <t>---</t>
  </si>
  <si>
    <t xml:space="preserve">As directed by Engineer in charge &amp; The useful excavated materials shall be utilised as directed by the Engineer In Charge.
</t>
  </si>
  <si>
    <t>MORTH 408</t>
  </si>
  <si>
    <t xml:space="preserve">The hard murum shall be of desintegrated trap, granite, quartzite or gneiss rock freshly quarried. It shall be sufficiently hard and free from soft murum, earth, organic matter or order deleterious or soft material. Before starting collection a sample should be got approved by the engineer. </t>
  </si>
  <si>
    <t>As directed by Engineer in charge</t>
  </si>
  <si>
    <t>MORTH 401</t>
  </si>
  <si>
    <t>--</t>
  </si>
  <si>
    <t>MORTH 406</t>
  </si>
  <si>
    <t>MORTH 409</t>
  </si>
  <si>
    <t>MORTH 601</t>
  </si>
  <si>
    <t>RD</t>
  </si>
  <si>
    <t>MORTH 602</t>
  </si>
  <si>
    <t>MORTH 807</t>
  </si>
  <si>
    <t>Bd-A-1</t>
  </si>
  <si>
    <t>Bd-A-2</t>
  </si>
  <si>
    <t>Bd-A-3</t>
  </si>
  <si>
    <t>As directed by Engineer in charge.&amp; The useful excavated materials shall be utilised as directed by the Engineer In Charge.</t>
  </si>
  <si>
    <t>Bd-A</t>
  </si>
  <si>
    <t>Bd-E-1</t>
  </si>
  <si>
    <t>Bd-H-1</t>
  </si>
  <si>
    <t>Bd.F.17</t>
  </si>
  <si>
    <t>1) As per Indian Standard 1786/1985 with latest amendments.2) Various diameters of TMT Fe-500 bars brought on site for the work shall be got tested categorywise and lot wise as directed by the Engineer in Charge.3)Testing should be done in Governemnt laboratory.</t>
  </si>
  <si>
    <t>Bd.F.3 &amp;
B.7</t>
  </si>
  <si>
    <t>298&amp;38</t>
  </si>
  <si>
    <t>1) The appropriate mix design shall be got approved well in  advancefrom the Government laboratory or laboratory approved by Engineer-in- charge.2) Cement  of same grade and quality sent for mix design shall  beused  for concreting work.3)The minimum cement for reinforced cement concrete / plaincement concrete to ensure durability / strength, shall be as perprovisions in the I.S. 456-2000 with latest amendment.  If actualcement required / consumed more than the provisions in the IS Code,no claim for that shall be entertained and cost for that shall be borneby the contractor.4) Before concreting work cement from each consignment shall  begot tested and if the strength of cement varies considerably from theapproved mix design,  then the mix design shall be got modifiedaccording to strength of fresh cement available in  the stock andconcreting work should be carried out according to redesigned mix.5) From every consignment of the cement a sample shall  be gottested as per norms and frequency  laid down in the GovernmentCircular.  As regards testing of cement it will be entire responsibility of the contractor .</t>
  </si>
  <si>
    <t>Bd.F.6 &amp; B.7</t>
  </si>
  <si>
    <t>300 &amp; 38</t>
  </si>
  <si>
    <t xml:space="preserve">1) The appropriate mix design shall be got approved well in  advance from the Government laboratory or laboratory approved by Engineer-in- charge.2) Cement  of same grade and quality sent for mix design shall  beused  for concreting work.3)The minimum cement for reinforced cement concrete / plaincement concrete to ensure durability / strength, shall be as perprovisions in the I.S. 456-2000 with latest amendment.  If actual cement required / consumed more than the provisions in the IS Code,no claim for that shall be entertained and cost for that shall be borne by the contractor.4) Before concreting work cement from each consignment shall  begot tested and if the strength of cement varies considerably from theapproved mix design,  then the mix design shall be got modifiedaccording to strength of fresh cement available in  the stock andconcreting work should be carried out according to redesigned mix.5) From every consignment of the cement a sample shall  be gottested as per norms and frequency  laid down in the GovernmentCircular.  As regards testing of cement it will be entire responsibility of the contractor. </t>
  </si>
  <si>
    <t>Bd.F.8 &amp; B.7</t>
  </si>
  <si>
    <t>302 &amp; 38</t>
  </si>
  <si>
    <t xml:space="preserve">1) The appropriate mix design shall be got approved well in  advance from the Government laboratory or laboratory approved by Engineer-in- charge.2) Cement  of same grade and quality sent for mix design shall  beused  for concreting work.3)The minimum cement for reinforced cement concrete / plaincement concrete to ensure durability / strength, shall be as perprovisions in the I.S. 456-2000 with latest amendment.  If actual cement required / consumed more than the provisions in the IS Code,no claim for that shall be entertained and cost for that shall be borne by the contractor.4) Before concreting work cement from each consignment shall  begot tested and if the strength of cement varies considerably from theapproved mix design,  then the mix design shall be got modifiedaccording to strength of fresh cement available in  the stock andconcreting work should be carried out according to redesigned mix.5) From every consignment of the cement a sample shall  be gottested as per norms and frequency  laid down in the GovernmentCircular.  As regards testing of cement it will be entire responsibility of the contractor.  </t>
  </si>
  <si>
    <t xml:space="preserve">Bd.L.4 </t>
  </si>
  <si>
    <t>1)The surface to be plastered shall be first cleaned and thoroughly wetted for 24 Hours and got checked from Engineer in charge before starting the new.2)Item includes rounding of all internal and external junctions,corners, jambs, etc. as directed by the Engineer-in-charge.3)Finishing shall be plain and in line, level and plumb.4)Curing shall be done by sprinkling water on the surface for minimum period of fourteen days.</t>
  </si>
  <si>
    <t>MORTH 305</t>
  </si>
  <si>
    <t>As directed by Engineer-in-charge.</t>
  </si>
  <si>
    <t>Rd.M.18</t>
  </si>
  <si>
    <t xml:space="preserve">CD.7 </t>
  </si>
  <si>
    <t>Bd-E-2 &amp; B-7</t>
  </si>
  <si>
    <t>288 &amp; 238</t>
  </si>
  <si>
    <t>Bd-G-1</t>
  </si>
  <si>
    <t>Bd-L-4</t>
  </si>
  <si>
    <t>Bd-F-11 7 B-7</t>
  </si>
  <si>
    <t>304 &amp;38</t>
  </si>
  <si>
    <t>CD-14</t>
  </si>
  <si>
    <t>Bd.W.8</t>
  </si>
  <si>
    <t xml:space="preserve">Bd.A.1 </t>
  </si>
  <si>
    <t>As directed by Engineer in charge &amp; the useful excavated materials shall be utilised as directed by the Engineer In Charge.</t>
  </si>
  <si>
    <t>Bd.A.2</t>
  </si>
  <si>
    <t xml:space="preserve">As directed by Engineer in charge &amp; the useful excavated materials shall be utilised as directed by the Engineer In Charge.
</t>
  </si>
  <si>
    <t>Bd.A.3</t>
  </si>
  <si>
    <t>Bd A.</t>
  </si>
  <si>
    <t>Bd. E. 1</t>
  </si>
  <si>
    <t>As directed by Engineer in charge &amp; the ingradient material shall be tested as per Quality Control norms</t>
  </si>
  <si>
    <t>Bd.H.1</t>
  </si>
  <si>
    <t>1)The Rubble  shall be got tested before use from the Government approved laboratoryat the rate of 1 batch of  for every source 2)The proportion of cement mortar shall be l:6  3)For mixing of mortar steel forms of required size only shall be used. Formixing of mortar steel trough or back platform shall be used.4)The joints on both faces shall be raked to a depth of not less than thethickness of joints for affording good bond for plaster.</t>
  </si>
  <si>
    <t>Bd.G.1</t>
  </si>
  <si>
    <t>1)The brick shall be got tested before use from the Government laboratoryat the rate of 1 batch of 15 bricks for every 50,000 bricks or part thereof atcontractor's cost for the following:a)Crushing stretch :-Dry Condition   - 5 bricksii)Wet Condition   - 5 bricksb) Water absorption- 5 bricksIn addition, bricks shall be tested for size, shape and soundness.3)The proportion of cement mortar shall be l:6 4)Minimum two drums of water shall be provided to masons for soaking ofbricks at each place where masons are working.5)For mixing of mortar steel forms of required size only shall be used. Formixing of mortar steel trough or back platform shall be used.6)The brick work shall be cured for a minimum period of 14 days.7)The joints on both faces shall be raked to a depth of not less than the thickness of joints for affording good bond for plaster.8)Hold fast for door or widow frames shall be embedded in cast in situ l:2:4cement concrete blocks of required size without any extra cost.</t>
  </si>
  <si>
    <t>Bd.L.4</t>
  </si>
  <si>
    <t>1)The surface to be plastered shall be first cleaned and thoroughlywetted for 24 Hours and got checked from Engineer in charge beforestarting the new.2)Item includes rounding of all internal and external junctions,corners, jambs, etc. as directed by the Engineer-in-charge.3)Finishing shall be plain and in line, level and plumb.4)Curing shall be done by sprinkling water on the surface for minimum period of fourteen days.</t>
  </si>
  <si>
    <t>Bd.A.11</t>
  </si>
  <si>
    <t>Filling in plinth and floors with approved  excavated material, sand or murum  in 15 centimetre  to 20 centimetre layers including watering and compaction complete.</t>
  </si>
  <si>
    <t xml:space="preserve">Bd.E.3 </t>
  </si>
  <si>
    <t>Bd.F.6 &amp; B 7</t>
  </si>
  <si>
    <t>300 &amp;
38</t>
  </si>
  <si>
    <t>1) The appropriate mix design shall be got approved well in  advancefrom the Government laboratory or laboratory approved by Engineer-in- charge.2) Cement  of same grade and quality sent for mix design shall  beused  for concreting work.3)The minimum cement for reinforced cement concrete / plaincement concrete to ensure durability / strength, shall be as perprovisions in the I.S. 456-2000 with latest amendment.  If actualcement required / consumed more than the provisions in the IS Code,no claim for that shall be entertained and cost for that shall be borneby the contractor.4) Before concreting work cement from each consignment shall  begot tested and if the strength of cement varies considerably from theapproved mix design,  then the mix design shall be got modifiedaccording to strength of fresh cement available in  the stock andconcreting work should be carried out according to redesigned mix.5) From every consignment of the cement a sample shall  be gottested as per norms and frequency  laid down in the GovernmentCircular.  As regards testing of cement it will be entire responsibilityof the contractor  and no payments  shall  be made to contractor against the testing charges.</t>
  </si>
  <si>
    <t>1) As per Indian Standard 1786/1985 with latest amendments.2) Various diameters of TMT FE-500 bars brought on site for the workshall be got tested categorywise and lot wise as directed by the Engineer in Charge.3)Testing should be done in Governemnt laboratory.</t>
  </si>
  <si>
    <t>Bd.O.7</t>
  </si>
  <si>
    <t>The primer shall be applied in one coat. The finishing shall be done with the number of coats of oil paint of approved colour and shade as mentioned in the item. The paint shall confirm to the relevant Indian Standard. cleaning and preparing the surface for receiving the paint. protecting the painted surface till dry. As directed by Engineer in charge.</t>
  </si>
  <si>
    <t>Laboratory testing charges for various material required for the construction of work by the contractor on the basis of testing frequency and charges fixed as given below.</t>
  </si>
  <si>
    <t xml:space="preserve"> ---</t>
  </si>
  <si>
    <t>1 ) The test shall be carried out in accordance as per specification &amp;  as directed by Engineer in charge .2) The testing of materials shall be carried out as per the frequency specified through approved lab &amp; shall be there responsibility of contractor.3)The material required for testing shall be sent by the contractor to the specified Laboratory at his own risk and cost.4)In case the desired results are not obtained during testing or the materialis rejected due to unsatisfactory results the testing charges shall not be paid to the contractor.5)It shall be obligatory on contractor to produce the test result .6)In case additional testing of material found necessary due to change in source,no  seperate payment shall be made and it shall be the entire responsiblity of contractor.7)Testing charges are mentioned in tender and it will be the responsibility of contractor to pay the testing charges to the concerned Laboratory inaccordance with the rates finalised. No difference shall be payable to the contractor in case testing charges are revised by the Laboratory.8)Material Testing shall be carried out as directed by Engineer in Charge.</t>
  </si>
  <si>
    <t xml:space="preserve">Total amount of Schedule - 'B' </t>
  </si>
  <si>
    <t xml:space="preserve">A B S T R A C T  </t>
  </si>
  <si>
    <t>In Words :-</t>
  </si>
  <si>
    <t xml:space="preserve">Rupees Seventy Six Lakh Fourteen Thousand Eighty Three And Paise Nil  Only </t>
  </si>
  <si>
    <t xml:space="preserve">SCHEDULE - 'B' </t>
  </si>
  <si>
    <t xml:space="preserve">Memorandum showing Items of work to be carried out by the contractor </t>
  </si>
  <si>
    <t>Quantity Estimated but may be more or less</t>
  </si>
  <si>
    <t>Estimated Rates</t>
  </si>
  <si>
    <t>Total Amount in Rupees according to estimated quantity</t>
  </si>
  <si>
    <t>Ruppes in Figures</t>
  </si>
  <si>
    <t>Rupees in word</t>
  </si>
  <si>
    <t xml:space="preserve">Rupees Seventy Four And Paise Eighty Eight Only </t>
  </si>
  <si>
    <t>One Cubic Metre</t>
  </si>
  <si>
    <t xml:space="preserve">Rupees Eighty Six And Paise Thirty Two Only </t>
  </si>
  <si>
    <t xml:space="preserve">Rupees One Hundred Twenty Seven And Paise Ninety Two Only </t>
  </si>
  <si>
    <t xml:space="preserve">Rupees Five Hundred Fifty Seven And Paise Seven Only </t>
  </si>
  <si>
    <t xml:space="preserve">Rupees Fifty Nine And Paise Twenty Eight Only </t>
  </si>
  <si>
    <t xml:space="preserve">Rupees One Thousand Nine Hundred Seventy Five And Paise Eighteen Only </t>
  </si>
  <si>
    <t xml:space="preserve">Rupees One Thousand Nine Hundred Thirty  And Paise Six Only </t>
  </si>
  <si>
    <t xml:space="preserve">Rupees Sixteen And Paise Sixty Four Only </t>
  </si>
  <si>
    <t xml:space="preserve">Rupees Three Thousand Three Hundred Seventeen And Paise Fourty Eight Only </t>
  </si>
  <si>
    <t xml:space="preserve">Rupees Nineteen And Paise Seventy Six Only </t>
  </si>
  <si>
    <t xml:space="preserve">Rupees Five Thousand Nine Hundred Seventy Two And Paise Eighty One Only </t>
  </si>
  <si>
    <t xml:space="preserve">Rupees Seven Hundred Seventy Seven And Paise Ninety Two Only </t>
  </si>
  <si>
    <t xml:space="preserve">Rupees Three Hundred Thirty Six And Paise Ninety  Only </t>
  </si>
  <si>
    <t xml:space="preserve">Rupees One Hundred Fourty Eight And Paise Seventy Two Only </t>
  </si>
  <si>
    <t xml:space="preserve">Rupees One Hundred Sixty Three And Paise Twenty Eight Only </t>
  </si>
  <si>
    <t xml:space="preserve">Rupees One Hundred Eighty  And Paise Ninety Six Only </t>
  </si>
  <si>
    <t xml:space="preserve">Rupees One Thousand Three Hundred Thirty Nine And Paise Fourty Eight Only </t>
  </si>
  <si>
    <t xml:space="preserve">Rupees Four Thousand Six Hundred Six And Paise Twenty  Only </t>
  </si>
  <si>
    <t xml:space="preserve">Rupees Four Thousand Two Hundred Eighty Four And Paise Seventy Four Only </t>
  </si>
  <si>
    <t xml:space="preserve">Rupees Sixty Six Thousand Five Hundred Fifty Three And Paise Seventy Six Only </t>
  </si>
  <si>
    <t xml:space="preserve">Rupees Five Thousand Nine Hundred Fifteen And Paise Fifty One Only </t>
  </si>
  <si>
    <t xml:space="preserve">Rupees Ten Thousand Eight Hundred Eight And Paise Eight Only </t>
  </si>
  <si>
    <t xml:space="preserve">Rupees Four Hundred Eighty Two And Paise Fourty Two Only </t>
  </si>
  <si>
    <t xml:space="preserve">Rupees One Hundred Fifty Seven And Paise Four Only </t>
  </si>
  <si>
    <t xml:space="preserve">Rupees Seven Hundred Twelve And Paise Thirty Seven Only </t>
  </si>
  <si>
    <t xml:space="preserve">Rupees One Hundred Thirty Eight And Paise Thirty Two Only </t>
  </si>
  <si>
    <t xml:space="preserve">Total Rs. </t>
  </si>
  <si>
    <t xml:space="preserve">Rupees Seventy Six Lakh Thirty  Thousand Four Hundred Nine And Paise Nil Only </t>
  </si>
  <si>
    <t>Rubble / Rd metal</t>
  </si>
  <si>
    <t>Concrete (PCC) M-15 / M-20</t>
  </si>
  <si>
    <t xml:space="preserve">ii)Concrete cube compressive strength (Set of 3 Cubes for 7 days &amp; 3 Cubs for 28 days) </t>
  </si>
  <si>
    <t xml:space="preserve">Crushed metal </t>
  </si>
  <si>
    <t xml:space="preserve">Jr.  Engineer </t>
  </si>
  <si>
    <t xml:space="preserve"> MSWC  Nasik</t>
  </si>
  <si>
    <t xml:space="preserve">ABSTRACT SHEET </t>
  </si>
  <si>
    <t>PARTICULARS</t>
  </si>
  <si>
    <t xml:space="preserve">AMOUNT </t>
  </si>
  <si>
    <t>FINAL</t>
  </si>
  <si>
    <t>IN  RS.</t>
  </si>
  <si>
    <t>Add 18% GST</t>
  </si>
  <si>
    <t>Prepared by</t>
  </si>
  <si>
    <t>Checked by</t>
  </si>
  <si>
    <t>picking  area  around unit no I Qty 984 Sq.MTR.</t>
  </si>
  <si>
    <t xml:space="preserve"> One Layer 40 mm metal 10 CM Tk. around unit no I Qty 130 Cubic.Mtr.</t>
  </si>
  <si>
    <t>Soft murum  over metal  around unit no I Qty 30 Cubic.Mtr</t>
  </si>
  <si>
    <t>compaction of metal  around unit no III Qty984 Sq..Mtr</t>
  </si>
  <si>
    <t>Asphalting to W B M Road</t>
  </si>
  <si>
    <t>Electrification</t>
  </si>
  <si>
    <t>Point wiring, CFL Lamp 4 Nos. Mains 3x 2.50Sq.mm 148 Mtr.</t>
  </si>
  <si>
    <t>Water</t>
  </si>
  <si>
    <t>PH Value, Sulphate &amp; Chloride Content.</t>
  </si>
  <si>
    <t>58/543</t>
  </si>
  <si>
    <t>Sr. No. / P.NO.</t>
  </si>
  <si>
    <t>SUBWORK  II :- Material Lab Testing charges</t>
  </si>
  <si>
    <t>Number</t>
  </si>
  <si>
    <t>i)Water Absorption, Specific ravity,Impact Value/Crushing Value.</t>
  </si>
  <si>
    <t>iii) Flakiness Index.</t>
  </si>
  <si>
    <t>Crushing Value/Compressive trength Water Absorption &amp; Specific ravity,</t>
  </si>
  <si>
    <t>Water Absorption (Set of 5 Bricks), Compressive Strength( Set of 5  ricks), Efflorescence (Set of 5 Bricks</t>
  </si>
  <si>
    <t>The centre falls under   sugarcane area  / corporation /Trible</t>
  </si>
  <si>
    <t xml:space="preserve">Jr.Engineer              </t>
  </si>
  <si>
    <t xml:space="preserve"> Sectioanl  Engineer </t>
  </si>
  <si>
    <t>C.um</t>
  </si>
  <si>
    <t xml:space="preserve"> Description of Items </t>
  </si>
  <si>
    <t>Item Nos</t>
  </si>
  <si>
    <t>Excavation for foundation in earth, soil of all types, sand, gravel and soft murum, including removing the excavated material up to a distance of 50 m. beyond the building area and stacking and spreading as directed, dewatering, preparing the bed for the foundation and necessary back filling, ramming, watering including shoring and strutting etc. complete. (Lift upto 1.5 m.) By Mechanical Means....(INo21-02, PgNo 197) (STATE SSR ) Item Spec: (Bd.A.1 Page No. 259)</t>
  </si>
  <si>
    <t xml:space="preserve"> Excavation for foundation in hard murum including removing the excavated material upto distance of 50 metres beyond the building area and stacking and spreading as directed, dewatering, preparing the bed for the foundation and necessary back filling, ramming, watering including shoring and strutting etc. complete. (Lift upto 1.50 m) By Mechanical Mean....(INo 21-06, PgNo 197) (STATE SSR ) Item Spec: (Bd.A.2 Page No. 259)</t>
  </si>
  <si>
    <t>column</t>
  </si>
  <si>
    <t xml:space="preserve"> Providing and laying Cast in situ/Ready Mix cement concrete in M-10 of trap/ granitel quartzitel gneiss metal for foundation and bedding including bailing out water, Steel centering, formwork, laying/pumping, compacting, roughening them if special finish is to be provided, finishing if required and curing complete, with fully automatic micro processor based PLC with SCADA enabled reversible Drum Type mixer/concrete Batch mix plant (Pan mixer) etc. complete. With fine aggregate (Natural Sand / Crushed sand VSI Grade finely washed etc)....(INo24-01, PgNo 226) ( STATE SSR ) Item Spec: (Bd. E. 1 Page No. 287)</t>
  </si>
  <si>
    <t>Providing and laying Cast in situ/Ready Mix cement concrete M-20 of trap / granite /quartzite/ gneiss metal for R.C.C. work in foundations like raft, strip foundations, grillage and footings of R.C.C. columns and steel stanchions etc. including bailing out water, Steel centering, formwork ,cover blocks, laying/pumping, compaction and curing roughening the surface if special finish is to be provided (Excluding reinforcement and structural steel) etc. complete, with fully automatic micro processor based PLC with SCADA enabled reversible Drum Type mixer/ concrete Batch mix plant (Pan mixer) etc. complete. With fine aggregate (Natural Sand / Crushed sand VSI Grade finely washed etc</t>
  </si>
  <si>
    <t xml:space="preserve"> Providing and laying Cast in situ/Ready Mix cement concrete M-20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 with fully automatic micro processor based PLC with SCADA enabled reversible Drum Type mixer/ concrete Batch mix plant (Pan mixer) etc. complete. With fine aggregate (Natural Sand / Crushed sand VSI Grade finely washed etc).... (INo25-50, PgNo 234) (STATE SSR ) Item Spec: (Bd.F.6 Page No. 300 and B.7, Page No.38)</t>
  </si>
  <si>
    <t xml:space="preserve"> Providing and fixing in position TMT - FE - 500 bar reinforcement of various diameters for R.C.C. pile caps, footings, foundations, slabs, beams columns, canopies, staircase, newels, chajjas, linteis pardis, copings, fins, arches etc. as per detailed designs, drawings and schedules, including cutting, bending, hooking the bass, binding with wires or tack welding and supporting as required complete ..... (INo26-33, PgNo 245) (STATE SSR ) Item Spec: (Bd.F.17, Page No. 306)</t>
  </si>
  <si>
    <t>M.T</t>
  </si>
  <si>
    <t>footings</t>
  </si>
  <si>
    <t>beams</t>
  </si>
  <si>
    <t>kg/cum</t>
  </si>
  <si>
    <t>Kg</t>
  </si>
  <si>
    <t>Providing second class Burnt Brick masonry with conventional/ I.S. type bricks in cement mortar 1:6 in foundations and plinth of inner walls/ in plinth external walls including bailing out water manually , striking joints on unexposed faces, raking out joints on exposed faces and watering etc. Complete.</t>
  </si>
  <si>
    <t xml:space="preserve"> Filling in plinth and floors with contractors material/brought from outside and approved by Engineer incharge in layers of 15cm, to 20cm, including watering and compaction etc. complete.....(IN021-37, PgNo 201) (STATE SSR ) Item Spec. (Bd. A.11 Page No. 283)</t>
  </si>
  <si>
    <t>Providing soling using 80 mm size trap metal in 15 cm. layer including filling voids with Crushed sand/grit, ramming, watering etc. Complete</t>
  </si>
  <si>
    <t>Sq.M</t>
  </si>
  <si>
    <t>Floor Area</t>
  </si>
  <si>
    <t xml:space="preserve"> Providing internal cement plaster 12mm thick in single coat in cement mortar 1:4 without neeru finish to concrete or brick surfaces, in all positions including scaffolding and curing etc. complete....(INo32-04. PgNo 268) ( STATE SSR ) Item Spec: (Bd. L.2 Page No. 368)</t>
  </si>
  <si>
    <t>Sqm</t>
  </si>
  <si>
    <t xml:space="preserve"> Providing sand faced plaster externally in cement mortar using approved screened sand, in all positions including base coat of 15 mm thick in cement mortar 1:4 using waterproofing compound at 1 kg per cement bag curing the same for not less than 2 days and keeping the surface of the base coat rough to receive the sand faced treatment 6 to 8 mm thick in cement mortar 1:4 finishing the surface by taking out grains and curing for fourteen days scaffolding etc.complete.....(INo32-11, PgNo 269) ( STATE SSR ) Item Spec: (Bd.L.7 Page No. 369)</t>
  </si>
  <si>
    <t>SqM</t>
  </si>
  <si>
    <t xml:space="preserve"> Providing &amp; applying washable oil-bound distemper of approved colour and shade to old &amp; new surfaces in two coats including scaffolding, preparing the surfaces. (excluding the primer coat.) etc. complete.....(INo36-11, PgNo 291) (STATE SSR ) Item Spec: (Bd.P.5 Page No. 413</t>
  </si>
  <si>
    <t xml:space="preserve"> Providing and applying two coats of enterior stayic emulsion paint confirming to corresponding 1S. of approved manufacture and of approved colour to the plastered surfaces including cleaning preparing the plaster surface, applying primer coat ,scaffolding if necessary, and watering the surface for two days etc complete.....(IN035-25, PgNo 288) (STATE SSR) Hem Spec: (As directed by Engineer in charge.)</t>
  </si>
  <si>
    <t>External Portions of Godown</t>
  </si>
  <si>
    <t>Providing and fabricating structural steel work in rolled sections like joists, channels, angles, tees etc. as per detailed design and drawings or as directed including cutting, fabricating, hoisting, erecting, fixing in position making riveted / bolted /welded connections without connecting plates, braces etc. and including one coat of anticorrosive paint and over it two coats of oil painting of approved quality and
shade etc. complete.</t>
  </si>
  <si>
    <t>SQM</t>
  </si>
  <si>
    <t>MS angle for Truss</t>
  </si>
  <si>
    <t>Angles  65 x 65 x 6 mm</t>
  </si>
  <si>
    <t xml:space="preserve"> Providing and fixing colour coated Zincalume (R) AZ150 ( min 150 gms/sq.mt. Total on each side ) profiled sheets for roofing. The feed material is manufactured out of nominal 0.45 mm Base Metal Thickness (BMT) (0.5 mm TCT), Hi-strength steel with min.550 Mpa yield strength, metallic hot dip coated with Aluminium-Zinc alloy (55% aluminium 43.4% zinc 1.6% silicon) váth COLORBOND (R) steel quality with thickness of nominal 35 um, comprising of nominal 25 um exterior coat on top surface and nominal 10  coat on back surface. Profile sheet shall have nom. 950-1050 mm width and nominal 25-30 mm deep ribs with subtle square fluting in shall be designed for anti-capillary groove. &amp; return leg. The feed material should have coil manufacturers product details marked a regular interval. Including fasteners with min. Fastened with min. 25 um Zinc-Tin alloy coated, Hex head, self-drilling screw etc. Complete. (weight of profile 4.52 kg/sqm)....(IN038-34 , PgNo 302) ( STATE SSR) Item Spec: (As directed by Engineer in charge.)</t>
  </si>
  <si>
    <t xml:space="preserve">Roofing Area </t>
  </si>
  <si>
    <t>Two sides</t>
  </si>
  <si>
    <t xml:space="preserve"> Providing and fixing of colour coated Zincaluminium R) AZ150 ( min 150 gms/sq.mt. Total on each side ) profiled sheets for roofing. The feed material is manufactured out of nominal 0.45 mm Base Metal Thickness (BMT) (0.5 mm TCT), Hi-strength steel with min.550 Mpa yield strength, metallic hot dip coated with Aluminium-Zinc alloy (55% aluminiumm 43.4% zinc 1.6% silicon) with COLORBOND (R) steel quality super durable polyster paint coat (with inorganic pigment). The paint shall have a total coating thickness of nominal 35 mm, comprising of nominal 25mmexterior coat on top surface and nominal 10 um reverse coat on back surface. Profile sheet shall have nom. 950-1050 mm effective cover width and nominal 25-30 mm deep ribs with sublet square fluting in the five pan at nominal 180-250 mmcenter-to-center. The end rib shall be designed for anti-capacity groove. &amp; return leg. The feed material should have coil manufacturers product details marked a regular interval. Including fasteners with min. Fastened with min. 25 um Zinc-Tin alloy coated, Hex head, self-drilling screw etc. Complete. (weight of profile 4.52 kg/sqm) 301 mm to 600 mm girth (Surface Width).....(INo38-35 PgNo 303) (STATE SSR ) Item Spec: (As directed by Engineer in charge.)</t>
  </si>
  <si>
    <t>Ridge at roofing lvl</t>
  </si>
  <si>
    <t xml:space="preserve"> Providing and fixing rolling shutter fabricated from steel laths of minimum thickness 0.9 mm with lock plate of 3.15 mm thickness reinforced with 35 x 35 x 5 mm angie section fitted with Sliding bolts and handles for both sides, deep M. S. channel section of respectively with hold fast arrangements, M.S. Bracket plate 300 x 300 x 3.15 mm minimum size and shape with square bar, suspension shaft of minimum 32 mm diameter, hood cover of M.S. sheet not less than 0.9 mm thickness and of any size at top and safety devices including mechanical gear operation arrangement consisting of worm gear wheels and worms of high grade cast iron or mild steel and one coat of red lead primer etc. complete. (I.S. 6248-1979) (Without mechanical gear)....(INo39-24 , PgNo 318) ( STATE SSR) Item Spec: (Bd.T.55, Page No. 510)</t>
  </si>
  <si>
    <t>Rulling Shutter</t>
  </si>
  <si>
    <t>SUBWORK II :- Royalty Charges</t>
  </si>
  <si>
    <t>BASED ON STATE SSR 2020-2021</t>
  </si>
  <si>
    <t>21.02/197</t>
  </si>
  <si>
    <t>21.06/197</t>
  </si>
  <si>
    <t>24.01/226</t>
  </si>
  <si>
    <t>25.11/230</t>
  </si>
  <si>
    <t>25.31/232</t>
  </si>
  <si>
    <t>25.50/234</t>
  </si>
  <si>
    <t>26.33/245</t>
  </si>
  <si>
    <t>23.01/223</t>
  </si>
  <si>
    <t>21.40/201</t>
  </si>
  <si>
    <t>21.37/201</t>
  </si>
  <si>
    <t>27.01/254</t>
  </si>
  <si>
    <t>39.24/318</t>
  </si>
  <si>
    <t>32.04/268</t>
  </si>
  <si>
    <t>32.11/269</t>
  </si>
  <si>
    <t>36.11/291</t>
  </si>
  <si>
    <t>35.25/288</t>
  </si>
  <si>
    <t>38.34/302</t>
  </si>
  <si>
    <t>38.35/303</t>
  </si>
  <si>
    <t>Add 3% Contingency</t>
  </si>
  <si>
    <t xml:space="preserve">                                    Add 1%  Labour Insurance</t>
  </si>
  <si>
    <t xml:space="preserve">P  &amp; L R. C. C. M30 </t>
  </si>
  <si>
    <t xml:space="preserve">SHREE MAHAGANPATI AGRO PRODUCER COMPANY LIMITED </t>
  </si>
  <si>
    <t>A/P-THANAPUDE  TAL. WALWA, DIST. SANGLI.</t>
  </si>
  <si>
    <t>SUB WORK  I : -PROPOSED NEW CONSTRUCTON WORK OF STORAGE PACK HOUSE</t>
  </si>
  <si>
    <t>COLUMN FOOTNGS</t>
  </si>
  <si>
    <t xml:space="preserve">BEAMS </t>
  </si>
  <si>
    <t>AT PLNTH LVL</t>
  </si>
  <si>
    <t>COLUMNS FOOTNGS</t>
  </si>
  <si>
    <t>BEAMS AT  GL</t>
  </si>
  <si>
    <t>BEAMS AT  ROOF</t>
  </si>
  <si>
    <t>BEAMS AT  LL</t>
  </si>
  <si>
    <t>CUM</t>
  </si>
  <si>
    <t>QTY OF INTERNAL PLASTERING</t>
  </si>
  <si>
    <t>QTY OF SAND FACE EXTERNAL PLASTERING</t>
  </si>
  <si>
    <t>Providing and laying Rough Shahabad Stone Flooring 40mm.to 45 mm. thick and of required width in plain/ diamond pattern on a bed of 1:6 C.M. including cement float, striking joints, pointing in cement mortar 1:3 curing and cleaning etc. etc. complete</t>
  </si>
  <si>
    <t>Providing and fixing steel window of various sizes as per detailed drawing without hot dip zinc coating, without ventilators, including fabricating / glazing with plain / obscured glass panels of approved type and quality, iron oxidised fixtures and fastenings, finishing with oil painting two coats complete (with guard bars 12 mm square at 10 cm c/c.)</t>
  </si>
  <si>
    <t>Providing second class Burnt Brick masonry with conventional/ I.S. type bricks in cement mortar 1:6 in superstructure including striking joints, raking out joints, watering and scaffolding etc. Complete</t>
  </si>
  <si>
    <t>Providing and laying Cast in situ/Ready Mix cement concrete M-20 of trap / granite /quartzite/ gneiss metal for R.C.C. columns as per detailed designs and drawings or as directed including steel centering, formwork, cover blocks compacting and roughening if special finish is to be provided and curing etc. complete. (Excluding reinforcement and structural steel).with fully automatic micro processor based PLC with SCADA enabled reversible Drum Type mixer/ concrete Batch mix plant (Pan mixer) etc. complete. With fine aggregate (Natural Sand / Crushed sand VSI Grade finely washed etc)</t>
  </si>
  <si>
    <t>RMTS</t>
  </si>
  <si>
    <t>M 10  IN FOUNDATIONS</t>
  </si>
  <si>
    <t>26.05/239</t>
  </si>
  <si>
    <t>27.05/254</t>
  </si>
  <si>
    <t>39.09</t>
  </si>
  <si>
    <t>33.02</t>
  </si>
  <si>
    <t>39.20/316</t>
  </si>
  <si>
    <t>NAME OF WORK : PROPOSED NEW CONSTRUCTON WORK OF STORAGE PACK HOUSE  OF SHREE MAHAGANPATI  AGRO PRODUCER COMPANY LIMITED,     IN GAT  NO.121.  A/P-THANAPUDE   TAL. WALWA, DIST. SANGLI.</t>
  </si>
  <si>
    <t>ProvidingandlayingCastinsitu/ReadyMixcementconcreteM20 oftrap/granite/quartzite/gneissmetalfor R.C.C.slab sand landings as per detailed design sand drawings including steelc entering, formwork, coverblocks,laying/pumping, compaction finishing the formed surface swith Cement mortar 1:3 sufficient minimum thickness to give a smooth and even surface or roughening if special finishis to be provided and curing etc. complete, (Excluding reinforcement and structural steel). with fully automatic microprocessor based PLC with SCAD Aenable dreversible Drum Typemixer /concreteBatchmixplant (Panmixer)etc.complete. Withfineaggregate(NaturalSand/ Crushed sand VSI Grade finely washed etc)</t>
  </si>
  <si>
    <t>SLAB LEVEL</t>
  </si>
  <si>
    <t>Slab</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</si>
</sst>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quot;$&quot;#,##0_);\(&quot;$&quot;#,##0\)"/>
    <numFmt numFmtId="43" formatCode="_(* #,##0.00_);_(* \(#,##0.00\);_(* &quot;-&quot;??_);_(@_)"/>
    <numFmt numFmtId="164" formatCode="0.000"/>
    <numFmt numFmtId="165" formatCode="0.0"/>
    <numFmt numFmtId="166" formatCode="&quot;\&quot;#,##0;[Red]&quot;\&quot;\-#,##0"/>
    <numFmt numFmtId="167" formatCode="&quot;\&quot;#,##0.00;[Red]&quot;\&quot;\-#,##0.00"/>
  </numFmts>
  <fonts count="124">
    <font>
      <sz val="10"/>
      <name val="Arial"/>
    </font>
    <font>
      <sz val="11"/>
      <color theme="1"/>
      <name val="Calibri"/>
      <family val="2"/>
      <scheme val="minor"/>
    </font>
    <font>
      <sz val="10"/>
      <name val="Arial"/>
      <family val="2"/>
    </font>
    <font>
      <sz val="8"/>
      <name val="Arial"/>
      <family val="2"/>
    </font>
    <font>
      <b/>
      <sz val="8"/>
      <name val="Arial"/>
      <family val="2"/>
    </font>
    <font>
      <u/>
      <sz val="8"/>
      <name val="Arial"/>
      <family val="2"/>
    </font>
    <font>
      <sz val="9"/>
      <name val="Arial"/>
      <family val="2"/>
    </font>
    <font>
      <sz val="9"/>
      <name val="Arial"/>
      <family val="2"/>
    </font>
    <font>
      <b/>
      <sz val="9"/>
      <name val="Arial"/>
      <family val="2"/>
    </font>
    <font>
      <sz val="8"/>
      <name val="Arial"/>
      <family val="2"/>
    </font>
    <font>
      <sz val="10"/>
      <color indexed="10"/>
      <name val="Arial"/>
      <family val="2"/>
    </font>
    <font>
      <sz val="8"/>
      <color indexed="10"/>
      <name val="Arial"/>
      <family val="2"/>
    </font>
    <font>
      <b/>
      <sz val="8"/>
      <color indexed="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b/>
      <u/>
      <sz val="9"/>
      <name val="Arial"/>
      <family val="2"/>
    </font>
    <font>
      <sz val="11"/>
      <name val="??"/>
      <family val="1"/>
      <charset val="128"/>
    </font>
    <font>
      <sz val="11"/>
      <name val="?? ??"/>
      <family val="1"/>
      <charset val="128"/>
    </font>
    <font>
      <sz val="14"/>
      <name val="Terminal"/>
      <family val="3"/>
      <charset val="128"/>
    </font>
    <font>
      <sz val="10"/>
      <name val="Helv"/>
      <family val="2"/>
    </font>
    <font>
      <sz val="10"/>
      <name val="Helv"/>
      <charset val="204"/>
    </font>
    <font>
      <u/>
      <sz val="10"/>
      <color indexed="12"/>
      <name val="Arial"/>
      <family val="2"/>
    </font>
    <font>
      <sz val="10"/>
      <name val="Arial"/>
      <family val="2"/>
    </font>
    <font>
      <sz val="11"/>
      <name val="ＭＳ 明朝"/>
      <family val="1"/>
      <charset val="128"/>
    </font>
    <font>
      <sz val="10"/>
      <name val="ＭＳ ゴシック"/>
      <family val="3"/>
      <charset val="128"/>
    </font>
    <font>
      <b/>
      <sz val="10"/>
      <color indexed="10"/>
      <name val="Arial"/>
      <family val="2"/>
    </font>
    <font>
      <b/>
      <sz val="12"/>
      <name val="Arial"/>
      <family val="2"/>
    </font>
    <font>
      <b/>
      <sz val="11"/>
      <name val="Arial"/>
      <family val="2"/>
    </font>
    <font>
      <sz val="16"/>
      <name val="Arial"/>
      <family val="2"/>
    </font>
    <font>
      <b/>
      <sz val="14"/>
      <name val="Arial"/>
      <family val="2"/>
    </font>
    <font>
      <b/>
      <sz val="10"/>
      <name val="Times New Roman"/>
      <family val="1"/>
    </font>
    <font>
      <sz val="10"/>
      <name val="Times New Roman"/>
      <family val="1"/>
    </font>
    <font>
      <b/>
      <sz val="9"/>
      <name val="Times New Roman"/>
      <family val="1"/>
    </font>
    <font>
      <b/>
      <sz val="15"/>
      <name val="Times New Roman"/>
      <family val="1"/>
    </font>
    <font>
      <b/>
      <u/>
      <sz val="20"/>
      <name val="Times New Roman"/>
      <family val="1"/>
    </font>
    <font>
      <b/>
      <u/>
      <sz val="12"/>
      <name val="Times New Roman"/>
      <family val="1"/>
    </font>
    <font>
      <sz val="16"/>
      <name val="Times New Roman"/>
      <family val="1"/>
    </font>
    <font>
      <b/>
      <sz val="12"/>
      <name val="Times New Roman"/>
      <family val="1"/>
    </font>
    <font>
      <sz val="12"/>
      <name val="Times New Roman"/>
      <family val="1"/>
    </font>
    <font>
      <sz val="12"/>
      <color indexed="8"/>
      <name val="Times New Roman"/>
      <family val="1"/>
    </font>
    <font>
      <b/>
      <sz val="8"/>
      <name val="Times New Roman"/>
      <family val="1"/>
    </font>
    <font>
      <b/>
      <u/>
      <sz val="14"/>
      <name val="Times New Roman"/>
      <family val="1"/>
    </font>
    <font>
      <b/>
      <u/>
      <sz val="16"/>
      <name val="Times New Roman"/>
      <family val="1"/>
    </font>
    <font>
      <b/>
      <u/>
      <sz val="10"/>
      <name val="Times New Roman"/>
      <family val="1"/>
    </font>
    <font>
      <sz val="9"/>
      <name val="Times New Roman"/>
      <family val="1"/>
    </font>
    <font>
      <b/>
      <sz val="16"/>
      <name val="Times New Roman"/>
      <family val="1"/>
    </font>
    <font>
      <b/>
      <u/>
      <sz val="9"/>
      <name val="Times New Roman"/>
      <family val="1"/>
    </font>
    <font>
      <u/>
      <sz val="9"/>
      <name val="Times New Roman"/>
      <family val="1"/>
    </font>
    <font>
      <u/>
      <sz val="10"/>
      <name val="Times New Roman"/>
      <family val="1"/>
    </font>
    <font>
      <b/>
      <u/>
      <sz val="18"/>
      <name val="Times New Roman"/>
      <family val="1"/>
    </font>
    <font>
      <sz val="14"/>
      <name val="Times New Roman"/>
      <family val="1"/>
    </font>
    <font>
      <b/>
      <sz val="11"/>
      <name val="Times New Roman"/>
      <family val="1"/>
    </font>
    <font>
      <b/>
      <u/>
      <sz val="11"/>
      <name val="Times New Roman"/>
      <family val="1"/>
    </font>
    <font>
      <b/>
      <u/>
      <sz val="10"/>
      <name val="Arial"/>
      <family val="2"/>
    </font>
    <font>
      <b/>
      <sz val="7"/>
      <name val="Arial"/>
      <family val="2"/>
    </font>
    <font>
      <b/>
      <sz val="18"/>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rgb="FF000000"/>
      <name val="Calibri"/>
      <family val="2"/>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9"/>
      <color theme="1"/>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4"/>
      <color theme="1"/>
      <name val="Calibri"/>
      <family val="2"/>
      <scheme val="minor"/>
    </font>
    <font>
      <b/>
      <sz val="13"/>
      <color theme="1"/>
      <name val="Calibri"/>
      <family val="2"/>
      <scheme val="minor"/>
    </font>
    <font>
      <b/>
      <sz val="11"/>
      <name val="Calibri"/>
      <family val="2"/>
      <scheme val="minor"/>
    </font>
    <font>
      <sz val="8"/>
      <color theme="1"/>
      <name val="Calibri"/>
      <family val="2"/>
      <scheme val="minor"/>
    </font>
    <font>
      <sz val="10"/>
      <color rgb="FFFF0000"/>
      <name val="Arial"/>
      <family val="2"/>
    </font>
    <font>
      <sz val="12"/>
      <color theme="1"/>
      <name val="Times New Roman"/>
      <family val="1"/>
    </font>
    <font>
      <sz val="12"/>
      <color rgb="FFFF0000"/>
      <name val="Times New Roman"/>
      <family val="1"/>
    </font>
    <font>
      <b/>
      <sz val="12"/>
      <color theme="1"/>
      <name val="Times New Roman"/>
      <family val="1"/>
    </font>
    <font>
      <b/>
      <sz val="10"/>
      <color theme="1"/>
      <name val="Times New Roman"/>
      <family val="1"/>
    </font>
    <font>
      <sz val="9"/>
      <color theme="1"/>
      <name val="Times New Roman"/>
      <family val="1"/>
    </font>
    <font>
      <u/>
      <sz val="10"/>
      <color rgb="FFFF0000"/>
      <name val="Times New Roman"/>
      <family val="1"/>
    </font>
    <font>
      <b/>
      <sz val="11"/>
      <color theme="1"/>
      <name val="Times New Roman"/>
      <family val="1"/>
    </font>
    <font>
      <sz val="10"/>
      <color rgb="FFFF0000"/>
      <name val="Times New Roman"/>
      <family val="1"/>
    </font>
    <font>
      <b/>
      <sz val="10"/>
      <color rgb="FFFF0000"/>
      <name val="Times New Roman"/>
      <family val="1"/>
    </font>
    <font>
      <b/>
      <sz val="9"/>
      <color theme="1"/>
      <name val="Times New Roman"/>
      <family val="1"/>
    </font>
    <font>
      <sz val="11"/>
      <color theme="1"/>
      <name val="Times New Roman"/>
      <family val="1"/>
    </font>
    <font>
      <b/>
      <sz val="10"/>
      <color theme="1"/>
      <name val="Arial"/>
      <family val="2"/>
    </font>
    <font>
      <b/>
      <sz val="18"/>
      <color theme="1"/>
      <name val="Calibri"/>
      <family val="2"/>
      <scheme val="minor"/>
    </font>
    <font>
      <b/>
      <sz val="10"/>
      <color rgb="FFFF0000"/>
      <name val="Arial"/>
      <family val="2"/>
    </font>
    <font>
      <sz val="9"/>
      <name val="Cambria"/>
      <family val="1"/>
      <scheme val="major"/>
    </font>
    <font>
      <sz val="11"/>
      <name val="Tw Cen MT"/>
      <family val="2"/>
    </font>
    <font>
      <sz val="10"/>
      <name val="Tw Cen MT"/>
      <family val="2"/>
    </font>
    <font>
      <b/>
      <u/>
      <sz val="14"/>
      <name val="Arial"/>
      <family val="2"/>
    </font>
    <font>
      <i/>
      <sz val="10"/>
      <name val="Times New Roman"/>
      <family val="1"/>
    </font>
    <font>
      <sz val="11"/>
      <name val="Times New Roman"/>
      <family val="1"/>
    </font>
    <font>
      <u/>
      <sz val="9"/>
      <name val="Arial"/>
      <family val="2"/>
    </font>
    <font>
      <sz val="8"/>
      <name val="Tw Cen MT"/>
      <family val="2"/>
    </font>
    <font>
      <sz val="8"/>
      <name val="Cambria"/>
      <family val="1"/>
      <scheme val="major"/>
    </font>
    <font>
      <b/>
      <sz val="10"/>
      <color indexed="8"/>
      <name val="Calibri"/>
      <family val="2"/>
    </font>
    <font>
      <b/>
      <u/>
      <sz val="10"/>
      <color indexed="8"/>
      <name val="Calibri"/>
      <family val="2"/>
    </font>
    <font>
      <b/>
      <sz val="10"/>
      <color theme="1"/>
      <name val="Calibri"/>
      <family val="2"/>
      <scheme val="minor"/>
    </font>
    <font>
      <u/>
      <sz val="11"/>
      <name val="Times New Roman"/>
      <family val="1"/>
    </font>
  </fonts>
  <fills count="80">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31"/>
      </patternFill>
    </fill>
    <fill>
      <patternFill patternType="solid">
        <fgColor indexed="55"/>
      </patternFill>
    </fill>
    <fill>
      <patternFill patternType="solid">
        <fgColor indexed="55"/>
        <bgColor indexed="23"/>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9"/>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FF0000"/>
        <bgColor indexed="64"/>
      </patternFill>
    </fill>
    <fill>
      <patternFill patternType="solid">
        <fgColor rgb="FFFFFF00"/>
        <bgColor indexed="64"/>
      </patternFill>
    </fill>
  </fills>
  <borders count="10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theme="0" tint="-0.14999847407452621"/>
      </right>
      <top style="thin">
        <color theme="0" tint="-0.14999847407452621"/>
      </top>
      <bottom style="thin">
        <color theme="0" tint="-0.14999847407452621"/>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indexed="64"/>
      </right>
      <top style="thin">
        <color theme="0" tint="-0.14999847407452621"/>
      </top>
      <bottom style="thin">
        <color theme="0" tint="-0.14999847407452621"/>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right style="thin">
        <color theme="0" tint="-0.14999847407452621"/>
      </right>
      <top/>
      <bottom style="thin">
        <color theme="0" tint="-0.14999847407452621"/>
      </bottom>
      <diagonal/>
    </border>
    <border>
      <left style="thin">
        <color indexed="64"/>
      </left>
      <right style="thin">
        <color theme="0" tint="-0.14999847407452621"/>
      </right>
      <top style="thin">
        <color theme="0" tint="-0.14999847407452621"/>
      </top>
      <bottom style="double">
        <color indexed="64"/>
      </bottom>
      <diagonal/>
    </border>
    <border>
      <left style="thin">
        <color theme="0" tint="-0.14999847407452621"/>
      </left>
      <right style="thin">
        <color theme="0" tint="-0.14999847407452621"/>
      </right>
      <top style="thin">
        <color theme="0" tint="-0.14999847407452621"/>
      </top>
      <bottom style="double">
        <color indexed="64"/>
      </bottom>
      <diagonal/>
    </border>
    <border>
      <left style="thin">
        <color theme="0" tint="-0.249977111117893"/>
      </left>
      <right style="thin">
        <color indexed="64"/>
      </right>
      <top style="thin">
        <color indexed="64"/>
      </top>
      <bottom/>
      <diagonal/>
    </border>
    <border>
      <left style="thin">
        <color theme="0" tint="-0.14999847407452621"/>
      </left>
      <right style="thin">
        <color indexed="64"/>
      </right>
      <top style="thin">
        <color theme="0" tint="-0.14999847407452621"/>
      </top>
      <bottom style="double">
        <color indexed="64"/>
      </bottom>
      <diagonal/>
    </border>
    <border>
      <left style="thin">
        <color theme="0" tint="-0.14999847407452621"/>
      </left>
      <right style="thin">
        <color indexed="64"/>
      </right>
      <top/>
      <bottom style="thin">
        <color theme="0" tint="-0.14999847407452621"/>
      </bottom>
      <diagonal/>
    </border>
    <border>
      <left style="thin">
        <color theme="0" tint="-0.249977111117893"/>
      </left>
      <right/>
      <top/>
      <bottom style="double">
        <color indexed="64"/>
      </bottom>
      <diagonal/>
    </border>
    <border>
      <left style="thin">
        <color theme="0" tint="-0.249977111117893"/>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02">
    <xf numFmtId="0" fontId="0" fillId="0" borderId="0"/>
    <xf numFmtId="166" fontId="33" fillId="0" borderId="0" applyFont="0" applyFill="0" applyBorder="0" applyAlignment="0" applyProtection="0"/>
    <xf numFmtId="167" fontId="34" fillId="0" borderId="0" applyFont="0" applyFill="0" applyBorder="0" applyAlignment="0" applyProtection="0"/>
    <xf numFmtId="40" fontId="34" fillId="0" borderId="0" applyFont="0" applyFill="0" applyBorder="0" applyAlignment="0" applyProtection="0"/>
    <xf numFmtId="38" fontId="34" fillId="0" borderId="0" applyFont="0" applyFill="0" applyBorder="0" applyAlignment="0" applyProtection="0"/>
    <xf numFmtId="0" fontId="35" fillId="0" borderId="0"/>
    <xf numFmtId="0" fontId="36" fillId="0" borderId="0"/>
    <xf numFmtId="0" fontId="37" fillId="0" borderId="0"/>
    <xf numFmtId="0" fontId="36" fillId="0" borderId="0"/>
    <xf numFmtId="0" fontId="37" fillId="0" borderId="0"/>
    <xf numFmtId="0" fontId="37" fillId="0" borderId="0"/>
    <xf numFmtId="0" fontId="36" fillId="0" borderId="0"/>
    <xf numFmtId="0" fontId="36" fillId="0" borderId="0"/>
    <xf numFmtId="0" fontId="31" fillId="0" borderId="0"/>
    <xf numFmtId="0" fontId="14" fillId="2" borderId="0" applyNumberFormat="0" applyBorder="0" applyAlignment="0" applyProtection="0"/>
    <xf numFmtId="0" fontId="14" fillId="2" borderId="0" applyNumberFormat="0" applyBorder="0" applyAlignment="0" applyProtection="0"/>
    <xf numFmtId="0" fontId="73" fillId="47" borderId="0" applyNumberFormat="0" applyBorder="0" applyAlignment="0" applyProtection="0"/>
    <xf numFmtId="0" fontId="14" fillId="2" borderId="0" applyNumberFormat="0" applyBorder="0" applyAlignment="0" applyProtection="0"/>
    <xf numFmtId="0" fontId="73" fillId="47" borderId="0" applyNumberFormat="0" applyBorder="0" applyAlignment="0" applyProtection="0"/>
    <xf numFmtId="0" fontId="14" fillId="3"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73" fillId="48" borderId="0" applyNumberFormat="0" applyBorder="0" applyAlignment="0" applyProtection="0"/>
    <xf numFmtId="0" fontId="14" fillId="4" borderId="0" applyNumberFormat="0" applyBorder="0" applyAlignment="0" applyProtection="0"/>
    <xf numFmtId="0" fontId="73" fillId="48" borderId="0" applyNumberFormat="0" applyBorder="0" applyAlignment="0" applyProtection="0"/>
    <xf numFmtId="0" fontId="14" fillId="5"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73" fillId="49" borderId="0" applyNumberFormat="0" applyBorder="0" applyAlignment="0" applyProtection="0"/>
    <xf numFmtId="0" fontId="14" fillId="6" borderId="0" applyNumberFormat="0" applyBorder="0" applyAlignment="0" applyProtection="0"/>
    <xf numFmtId="0" fontId="73" fillId="49" borderId="0" applyNumberFormat="0" applyBorder="0" applyAlignment="0" applyProtection="0"/>
    <xf numFmtId="0" fontId="14" fillId="7"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73" fillId="50" borderId="0" applyNumberFormat="0" applyBorder="0" applyAlignment="0" applyProtection="0"/>
    <xf numFmtId="0" fontId="14" fillId="8" borderId="0" applyNumberFormat="0" applyBorder="0" applyAlignment="0" applyProtection="0"/>
    <xf numFmtId="0" fontId="73" fillId="50" borderId="0" applyNumberFormat="0" applyBorder="0" applyAlignment="0" applyProtection="0"/>
    <xf numFmtId="0" fontId="14" fillId="9"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73" fillId="51" borderId="0" applyNumberFormat="0" applyBorder="0" applyAlignment="0" applyProtection="0"/>
    <xf numFmtId="0" fontId="14" fillId="10" borderId="0" applyNumberFormat="0" applyBorder="0" applyAlignment="0" applyProtection="0"/>
    <xf numFmtId="0" fontId="73" fillId="51" borderId="0" applyNumberFormat="0" applyBorder="0" applyAlignment="0" applyProtection="0"/>
    <xf numFmtId="0" fontId="14" fillId="11"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73" fillId="52" borderId="0" applyNumberFormat="0" applyBorder="0" applyAlignment="0" applyProtection="0"/>
    <xf numFmtId="0" fontId="14" fillId="12" borderId="0" applyNumberFormat="0" applyBorder="0" applyAlignment="0" applyProtection="0"/>
    <xf numFmtId="0" fontId="73" fillId="52" borderId="0" applyNumberFormat="0" applyBorder="0" applyAlignment="0" applyProtection="0"/>
    <xf numFmtId="0" fontId="14" fillId="13"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73" fillId="53" borderId="0" applyNumberFormat="0" applyBorder="0" applyAlignment="0" applyProtection="0"/>
    <xf numFmtId="0" fontId="14" fillId="14" borderId="0" applyNumberFormat="0" applyBorder="0" applyAlignment="0" applyProtection="0"/>
    <xf numFmtId="0" fontId="73" fillId="53"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73" fillId="54" borderId="0" applyNumberFormat="0" applyBorder="0" applyAlignment="0" applyProtection="0"/>
    <xf numFmtId="0" fontId="14" fillId="16" borderId="0" applyNumberFormat="0" applyBorder="0" applyAlignment="0" applyProtection="0"/>
    <xf numFmtId="0" fontId="73" fillId="54"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73" fillId="55" borderId="0" applyNumberFormat="0" applyBorder="0" applyAlignment="0" applyProtection="0"/>
    <xf numFmtId="0" fontId="14" fillId="18" borderId="0" applyNumberFormat="0" applyBorder="0" applyAlignment="0" applyProtection="0"/>
    <xf numFmtId="0" fontId="73" fillId="55" borderId="0" applyNumberFormat="0" applyBorder="0" applyAlignment="0" applyProtection="0"/>
    <xf numFmtId="0" fontId="14" fillId="19"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73" fillId="56" borderId="0" applyNumberFormat="0" applyBorder="0" applyAlignment="0" applyProtection="0"/>
    <xf numFmtId="0" fontId="14" fillId="8" borderId="0" applyNumberFormat="0" applyBorder="0" applyAlignment="0" applyProtection="0"/>
    <xf numFmtId="0" fontId="73" fillId="56" borderId="0" applyNumberFormat="0" applyBorder="0" applyAlignment="0" applyProtection="0"/>
    <xf numFmtId="0" fontId="14" fillId="9"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73" fillId="57" borderId="0" applyNumberFormat="0" applyBorder="0" applyAlignment="0" applyProtection="0"/>
    <xf numFmtId="0" fontId="14" fillId="14" borderId="0" applyNumberFormat="0" applyBorder="0" applyAlignment="0" applyProtection="0"/>
    <xf numFmtId="0" fontId="73" fillId="57" borderId="0" applyNumberFormat="0" applyBorder="0" applyAlignment="0" applyProtection="0"/>
    <xf numFmtId="0" fontId="14" fillId="15"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73" fillId="58" borderId="0" applyNumberFormat="0" applyBorder="0" applyAlignment="0" applyProtection="0"/>
    <xf numFmtId="0" fontId="14" fillId="20" borderId="0" applyNumberFormat="0" applyBorder="0" applyAlignment="0" applyProtection="0"/>
    <xf numFmtId="0" fontId="73" fillId="58" borderId="0" applyNumberFormat="0" applyBorder="0" applyAlignment="0" applyProtection="0"/>
    <xf numFmtId="0" fontId="14" fillId="21"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74" fillId="59" borderId="0" applyNumberFormat="0" applyBorder="0" applyAlignment="0" applyProtection="0"/>
    <xf numFmtId="0" fontId="15" fillId="22" borderId="0" applyNumberFormat="0" applyBorder="0" applyAlignment="0" applyProtection="0"/>
    <xf numFmtId="0" fontId="74" fillId="59" borderId="0" applyNumberFormat="0" applyBorder="0" applyAlignment="0" applyProtection="0"/>
    <xf numFmtId="0" fontId="15" fillId="23"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74" fillId="60" borderId="0" applyNumberFormat="0" applyBorder="0" applyAlignment="0" applyProtection="0"/>
    <xf numFmtId="0" fontId="15" fillId="16" borderId="0" applyNumberFormat="0" applyBorder="0" applyAlignment="0" applyProtection="0"/>
    <xf numFmtId="0" fontId="74" fillId="60" borderId="0" applyNumberFormat="0" applyBorder="0" applyAlignment="0" applyProtection="0"/>
    <xf numFmtId="0" fontId="15" fillId="17"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74" fillId="61" borderId="0" applyNumberFormat="0" applyBorder="0" applyAlignment="0" applyProtection="0"/>
    <xf numFmtId="0" fontId="15" fillId="18" borderId="0" applyNumberFormat="0" applyBorder="0" applyAlignment="0" applyProtection="0"/>
    <xf numFmtId="0" fontId="74" fillId="61" borderId="0" applyNumberFormat="0" applyBorder="0" applyAlignment="0" applyProtection="0"/>
    <xf numFmtId="0" fontId="15" fillId="19"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74" fillId="62" borderId="0" applyNumberFormat="0" applyBorder="0" applyAlignment="0" applyProtection="0"/>
    <xf numFmtId="0" fontId="15" fillId="24" borderId="0" applyNumberFormat="0" applyBorder="0" applyAlignment="0" applyProtection="0"/>
    <xf numFmtId="0" fontId="74" fillId="62" borderId="0" applyNumberFormat="0" applyBorder="0" applyAlignment="0" applyProtection="0"/>
    <xf numFmtId="0" fontId="15" fillId="25"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74" fillId="63" borderId="0" applyNumberFormat="0" applyBorder="0" applyAlignment="0" applyProtection="0"/>
    <xf numFmtId="0" fontId="15" fillId="26" borderId="0" applyNumberFormat="0" applyBorder="0" applyAlignment="0" applyProtection="0"/>
    <xf numFmtId="0" fontId="74" fillId="63"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74" fillId="64" borderId="0" applyNumberFormat="0" applyBorder="0" applyAlignment="0" applyProtection="0"/>
    <xf numFmtId="0" fontId="15" fillId="28" borderId="0" applyNumberFormat="0" applyBorder="0" applyAlignment="0" applyProtection="0"/>
    <xf numFmtId="0" fontId="74" fillId="64" borderId="0" applyNumberFormat="0" applyBorder="0" applyAlignment="0" applyProtection="0"/>
    <xf numFmtId="0" fontId="15" fillId="29"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30" borderId="0" applyNumberFormat="0" applyBorder="0" applyAlignment="0" applyProtection="0"/>
    <xf numFmtId="0" fontId="15" fillId="30" borderId="0" applyNumberFormat="0" applyBorder="0" applyAlignment="0" applyProtection="0"/>
    <xf numFmtId="0" fontId="74" fillId="65" borderId="0" applyNumberFormat="0" applyBorder="0" applyAlignment="0" applyProtection="0"/>
    <xf numFmtId="0" fontId="15" fillId="30" borderId="0" applyNumberFormat="0" applyBorder="0" applyAlignment="0" applyProtection="0"/>
    <xf numFmtId="0" fontId="74" fillId="65" borderId="0" applyNumberFormat="0" applyBorder="0" applyAlignment="0" applyProtection="0"/>
    <xf numFmtId="0" fontId="15" fillId="31" borderId="0" applyNumberFormat="0" applyBorder="0" applyAlignment="0" applyProtection="0"/>
    <xf numFmtId="0" fontId="15"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15" fillId="32" borderId="0" applyNumberFormat="0" applyBorder="0" applyAlignment="0" applyProtection="0"/>
    <xf numFmtId="0" fontId="74" fillId="66" borderId="0" applyNumberFormat="0" applyBorder="0" applyAlignment="0" applyProtection="0"/>
    <xf numFmtId="0" fontId="15" fillId="32" borderId="0" applyNumberFormat="0" applyBorder="0" applyAlignment="0" applyProtection="0"/>
    <xf numFmtId="0" fontId="74" fillId="66" borderId="0" applyNumberFormat="0" applyBorder="0" applyAlignment="0" applyProtection="0"/>
    <xf numFmtId="0" fontId="15" fillId="33" borderId="0" applyNumberFormat="0" applyBorder="0" applyAlignment="0" applyProtection="0"/>
    <xf numFmtId="0" fontId="15" fillId="32" borderId="0" applyNumberFormat="0" applyBorder="0" applyAlignment="0" applyProtection="0"/>
    <xf numFmtId="0" fontId="15" fillId="33" borderId="0" applyNumberFormat="0" applyBorder="0" applyAlignment="0" applyProtection="0"/>
    <xf numFmtId="0" fontId="15" fillId="34" borderId="0" applyNumberFormat="0" applyBorder="0" applyAlignment="0" applyProtection="0"/>
    <xf numFmtId="0" fontId="15" fillId="34" borderId="0" applyNumberFormat="0" applyBorder="0" applyAlignment="0" applyProtection="0"/>
    <xf numFmtId="0" fontId="74" fillId="67" borderId="0" applyNumberFormat="0" applyBorder="0" applyAlignment="0" applyProtection="0"/>
    <xf numFmtId="0" fontId="15" fillId="34" borderId="0" applyNumberFormat="0" applyBorder="0" applyAlignment="0" applyProtection="0"/>
    <xf numFmtId="0" fontId="74" fillId="67" borderId="0" applyNumberFormat="0" applyBorder="0" applyAlignment="0" applyProtection="0"/>
    <xf numFmtId="0" fontId="15" fillId="35" borderId="0" applyNumberFormat="0" applyBorder="0" applyAlignment="0" applyProtection="0"/>
    <xf numFmtId="0" fontId="15" fillId="34" borderId="0" applyNumberFormat="0" applyBorder="0" applyAlignment="0" applyProtection="0"/>
    <xf numFmtId="0" fontId="15" fillId="35" borderId="0" applyNumberFormat="0" applyBorder="0" applyAlignment="0" applyProtection="0"/>
    <xf numFmtId="0" fontId="15" fillId="24" borderId="0" applyNumberFormat="0" applyBorder="0" applyAlignment="0" applyProtection="0"/>
    <xf numFmtId="0" fontId="15" fillId="24" borderId="0" applyNumberFormat="0" applyBorder="0" applyAlignment="0" applyProtection="0"/>
    <xf numFmtId="0" fontId="74" fillId="68" borderId="0" applyNumberFormat="0" applyBorder="0" applyAlignment="0" applyProtection="0"/>
    <xf numFmtId="0" fontId="15" fillId="24" borderId="0" applyNumberFormat="0" applyBorder="0" applyAlignment="0" applyProtection="0"/>
    <xf numFmtId="0" fontId="74" fillId="68" borderId="0" applyNumberFormat="0" applyBorder="0" applyAlignment="0" applyProtection="0"/>
    <xf numFmtId="0" fontId="15" fillId="25"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74" fillId="69" borderId="0" applyNumberFormat="0" applyBorder="0" applyAlignment="0" applyProtection="0"/>
    <xf numFmtId="0" fontId="15" fillId="26" borderId="0" applyNumberFormat="0" applyBorder="0" applyAlignment="0" applyProtection="0"/>
    <xf numFmtId="0" fontId="74" fillId="69" borderId="0" applyNumberFormat="0" applyBorder="0" applyAlignment="0" applyProtection="0"/>
    <xf numFmtId="0" fontId="15" fillId="27"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74" fillId="70" borderId="0" applyNumberFormat="0" applyBorder="0" applyAlignment="0" applyProtection="0"/>
    <xf numFmtId="0" fontId="15" fillId="36" borderId="0" applyNumberFormat="0" applyBorder="0" applyAlignment="0" applyProtection="0"/>
    <xf numFmtId="0" fontId="74" fillId="70" borderId="0" applyNumberFormat="0" applyBorder="0" applyAlignment="0" applyProtection="0"/>
    <xf numFmtId="0" fontId="15" fillId="37"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75" fillId="71" borderId="0" applyNumberFormat="0" applyBorder="0" applyAlignment="0" applyProtection="0"/>
    <xf numFmtId="0" fontId="16" fillId="4" borderId="0" applyNumberFormat="0" applyBorder="0" applyAlignment="0" applyProtection="0"/>
    <xf numFmtId="0" fontId="75" fillId="71" borderId="0" applyNumberFormat="0" applyBorder="0" applyAlignment="0" applyProtection="0"/>
    <xf numFmtId="0" fontId="16" fillId="5"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7" fillId="38" borderId="1" applyNumberFormat="0" applyAlignment="0" applyProtection="0"/>
    <xf numFmtId="0" fontId="17" fillId="38" borderId="1" applyNumberFormat="0" applyAlignment="0" applyProtection="0"/>
    <xf numFmtId="0" fontId="76" fillId="72" borderId="75" applyNumberFormat="0" applyAlignment="0" applyProtection="0"/>
    <xf numFmtId="0" fontId="17" fillId="38" borderId="1" applyNumberFormat="0" applyAlignment="0" applyProtection="0"/>
    <xf numFmtId="0" fontId="76" fillId="72" borderId="75" applyNumberFormat="0" applyAlignment="0" applyProtection="0"/>
    <xf numFmtId="0" fontId="17" fillId="39" borderId="1" applyNumberFormat="0" applyAlignment="0" applyProtection="0"/>
    <xf numFmtId="0" fontId="17" fillId="38" borderId="1" applyNumberFormat="0" applyAlignment="0" applyProtection="0"/>
    <xf numFmtId="0" fontId="17" fillId="39" borderId="1" applyNumberFormat="0" applyAlignment="0" applyProtection="0"/>
    <xf numFmtId="0" fontId="18" fillId="40" borderId="2" applyNumberFormat="0" applyAlignment="0" applyProtection="0"/>
    <xf numFmtId="0" fontId="18" fillId="40" borderId="2" applyNumberFormat="0" applyAlignment="0" applyProtection="0"/>
    <xf numFmtId="0" fontId="77" fillId="73" borderId="76" applyNumberFormat="0" applyAlignment="0" applyProtection="0"/>
    <xf numFmtId="0" fontId="18" fillId="40" borderId="2" applyNumberFormat="0" applyAlignment="0" applyProtection="0"/>
    <xf numFmtId="0" fontId="77" fillId="73" borderId="76" applyNumberFormat="0" applyAlignment="0" applyProtection="0"/>
    <xf numFmtId="0" fontId="18" fillId="41" borderId="2" applyNumberFormat="0" applyAlignment="0" applyProtection="0"/>
    <xf numFmtId="0" fontId="18" fillId="40" borderId="2" applyNumberFormat="0" applyAlignment="0" applyProtection="0"/>
    <xf numFmtId="0" fontId="18" fillId="41" borderId="2" applyNumberFormat="0" applyAlignment="0" applyProtection="0"/>
    <xf numFmtId="43" fontId="14"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5" fontId="78" fillId="0" borderId="0" applyBorder="0" applyProtection="0"/>
    <xf numFmtId="0" fontId="19" fillId="0" borderId="0" applyNumberFormat="0" applyFill="0" applyBorder="0" applyAlignment="0" applyProtection="0"/>
    <xf numFmtId="0" fontId="19" fillId="0" borderId="0" applyNumberFormat="0" applyFill="0" applyBorder="0" applyAlignment="0" applyProtection="0"/>
    <xf numFmtId="0" fontId="79" fillId="0" borderId="0" applyNumberFormat="0" applyFill="0" applyBorder="0" applyAlignment="0" applyProtection="0"/>
    <xf numFmtId="0" fontId="20" fillId="6" borderId="0" applyNumberFormat="0" applyBorder="0" applyAlignment="0" applyProtection="0"/>
    <xf numFmtId="0" fontId="20" fillId="6" borderId="0" applyNumberFormat="0" applyBorder="0" applyAlignment="0" applyProtection="0"/>
    <xf numFmtId="0" fontId="80" fillId="74" borderId="0" applyNumberFormat="0" applyBorder="0" applyAlignment="0" applyProtection="0"/>
    <xf numFmtId="0" fontId="20" fillId="6" borderId="0" applyNumberFormat="0" applyBorder="0" applyAlignment="0" applyProtection="0"/>
    <xf numFmtId="0" fontId="80" fillId="74" borderId="0" applyNumberFormat="0" applyBorder="0" applyAlignment="0" applyProtection="0"/>
    <xf numFmtId="0" fontId="20" fillId="7"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1" fillId="0" borderId="3" applyNumberFormat="0" applyFill="0" applyAlignment="0" applyProtection="0"/>
    <xf numFmtId="0" fontId="21" fillId="0" borderId="3" applyNumberFormat="0" applyFill="0" applyAlignment="0" applyProtection="0"/>
    <xf numFmtId="0" fontId="81" fillId="0" borderId="77"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82" fillId="0" borderId="78" applyNumberFormat="0" applyFill="0" applyAlignment="0" applyProtection="0"/>
    <xf numFmtId="0" fontId="23" fillId="0" borderId="5" applyNumberFormat="0" applyFill="0" applyAlignment="0" applyProtection="0"/>
    <xf numFmtId="0" fontId="23" fillId="0" borderId="5" applyNumberFormat="0" applyFill="0" applyAlignment="0" applyProtection="0"/>
    <xf numFmtId="0" fontId="83" fillId="0" borderId="79" applyNumberFormat="0" applyFill="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83" fillId="0" borderId="0" applyNumberFormat="0" applyFill="0" applyBorder="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38" fillId="0" borderId="0" applyNumberFormat="0" applyFill="0" applyBorder="0" applyAlignment="0" applyProtection="0"/>
    <xf numFmtId="0" fontId="38" fillId="0" borderId="0" applyNumberFormat="0" applyFill="0" applyBorder="0" applyAlignment="0" applyProtection="0"/>
    <xf numFmtId="0" fontId="24" fillId="12" borderId="1" applyNumberFormat="0" applyAlignment="0" applyProtection="0"/>
    <xf numFmtId="0" fontId="24" fillId="12" borderId="1" applyNumberFormat="0" applyAlignment="0" applyProtection="0"/>
    <xf numFmtId="0" fontId="84" fillId="75" borderId="75" applyNumberFormat="0" applyAlignment="0" applyProtection="0"/>
    <xf numFmtId="0" fontId="24" fillId="12" borderId="1" applyNumberFormat="0" applyAlignment="0" applyProtection="0"/>
    <xf numFmtId="0" fontId="84" fillId="75" borderId="75" applyNumberFormat="0" applyAlignment="0" applyProtection="0"/>
    <xf numFmtId="0" fontId="24" fillId="13" borderId="1" applyNumberFormat="0" applyAlignment="0" applyProtection="0"/>
    <xf numFmtId="0" fontId="24" fillId="12" borderId="1" applyNumberFormat="0" applyAlignment="0" applyProtection="0"/>
    <xf numFmtId="0" fontId="24" fillId="13" borderId="1" applyNumberFormat="0" applyAlignment="0" applyProtection="0"/>
    <xf numFmtId="0" fontId="25" fillId="0" borderId="6" applyNumberFormat="0" applyFill="0" applyAlignment="0" applyProtection="0"/>
    <xf numFmtId="0" fontId="25" fillId="0" borderId="6" applyNumberFormat="0" applyFill="0" applyAlignment="0" applyProtection="0"/>
    <xf numFmtId="0" fontId="85" fillId="0" borderId="80" applyNumberFormat="0" applyFill="0" applyAlignment="0" applyProtection="0"/>
    <xf numFmtId="0" fontId="26" fillId="42" borderId="0" applyNumberFormat="0" applyBorder="0" applyAlignment="0" applyProtection="0"/>
    <xf numFmtId="0" fontId="26" fillId="42" borderId="0" applyNumberFormat="0" applyBorder="0" applyAlignment="0" applyProtection="0"/>
    <xf numFmtId="0" fontId="86" fillId="76" borderId="0" applyNumberFormat="0" applyBorder="0" applyAlignment="0" applyProtection="0"/>
    <xf numFmtId="0" fontId="26" fillId="42" borderId="0" applyNumberFormat="0" applyBorder="0" applyAlignment="0" applyProtection="0"/>
    <xf numFmtId="0" fontId="86" fillId="76" borderId="0" applyNumberFormat="0" applyBorder="0" applyAlignment="0" applyProtection="0"/>
    <xf numFmtId="0" fontId="26" fillId="43"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31" fillId="0" borderId="0"/>
    <xf numFmtId="0" fontId="31" fillId="0" borderId="0"/>
    <xf numFmtId="0" fontId="73" fillId="0" borderId="0"/>
    <xf numFmtId="0" fontId="73" fillId="0" borderId="0"/>
    <xf numFmtId="0" fontId="31" fillId="0" borderId="0"/>
    <xf numFmtId="0" fontId="31" fillId="0" borderId="0"/>
    <xf numFmtId="0" fontId="31" fillId="0" borderId="0"/>
    <xf numFmtId="0" fontId="31" fillId="0" borderId="0"/>
    <xf numFmtId="0" fontId="31" fillId="0" borderId="0"/>
    <xf numFmtId="0" fontId="73" fillId="0" borderId="0"/>
    <xf numFmtId="0" fontId="31" fillId="0" borderId="0"/>
    <xf numFmtId="0" fontId="14" fillId="0" borderId="0"/>
    <xf numFmtId="0" fontId="31" fillId="0" borderId="0"/>
    <xf numFmtId="0" fontId="14" fillId="0" borderId="0"/>
    <xf numFmtId="0" fontId="87" fillId="0" borderId="0"/>
    <xf numFmtId="0" fontId="31" fillId="0" borderId="0"/>
    <xf numFmtId="0" fontId="31" fillId="0" borderId="0"/>
    <xf numFmtId="0" fontId="31" fillId="0" borderId="0"/>
    <xf numFmtId="0" fontId="14" fillId="0" borderId="0"/>
    <xf numFmtId="0" fontId="31" fillId="0" borderId="0"/>
    <xf numFmtId="0" fontId="14" fillId="0" borderId="0"/>
    <xf numFmtId="0" fontId="31" fillId="0" borderId="0"/>
    <xf numFmtId="0" fontId="31" fillId="0" borderId="0"/>
    <xf numFmtId="0" fontId="73" fillId="0" borderId="0"/>
    <xf numFmtId="0" fontId="31" fillId="0" borderId="0"/>
    <xf numFmtId="0" fontId="31" fillId="0" borderId="0"/>
    <xf numFmtId="0" fontId="73" fillId="0" borderId="0"/>
    <xf numFmtId="0" fontId="73" fillId="0" borderId="0"/>
    <xf numFmtId="0" fontId="73" fillId="0" borderId="0"/>
    <xf numFmtId="0" fontId="31" fillId="0" borderId="0"/>
    <xf numFmtId="0" fontId="31" fillId="0" borderId="0"/>
    <xf numFmtId="0" fontId="87" fillId="0" borderId="0"/>
    <xf numFmtId="0" fontId="31" fillId="0" borderId="0"/>
    <xf numFmtId="0" fontId="87" fillId="0" borderId="0"/>
    <xf numFmtId="0" fontId="31" fillId="0" borderId="0"/>
    <xf numFmtId="0" fontId="31" fillId="0" borderId="0"/>
    <xf numFmtId="0" fontId="31" fillId="0" borderId="0"/>
    <xf numFmtId="0" fontId="31" fillId="0" borderId="0"/>
    <xf numFmtId="0" fontId="31" fillId="0" borderId="0"/>
    <xf numFmtId="0" fontId="73" fillId="0" borderId="0"/>
    <xf numFmtId="0" fontId="73" fillId="0" borderId="0"/>
    <xf numFmtId="0" fontId="31" fillId="0" borderId="0"/>
    <xf numFmtId="0" fontId="7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2" fillId="44" borderId="7" applyNumberFormat="0" applyFont="0" applyAlignment="0" applyProtection="0"/>
    <xf numFmtId="0" fontId="31" fillId="44" borderId="7" applyNumberFormat="0" applyFont="0" applyAlignment="0" applyProtection="0"/>
    <xf numFmtId="0" fontId="73" fillId="77" borderId="81" applyNumberFormat="0" applyFont="0" applyAlignment="0" applyProtection="0"/>
    <xf numFmtId="0" fontId="14" fillId="77" borderId="81" applyNumberFormat="0" applyFont="0" applyAlignment="0" applyProtection="0"/>
    <xf numFmtId="0" fontId="31" fillId="44" borderId="7" applyNumberFormat="0" applyFont="0" applyAlignment="0" applyProtection="0"/>
    <xf numFmtId="0" fontId="73" fillId="77" borderId="81" applyNumberFormat="0" applyFont="0" applyAlignment="0" applyProtection="0"/>
    <xf numFmtId="0" fontId="14" fillId="77" borderId="81" applyNumberFormat="0" applyFont="0" applyAlignment="0" applyProtection="0"/>
    <xf numFmtId="0" fontId="14" fillId="77" borderId="81" applyNumberFormat="0" applyFont="0" applyAlignment="0" applyProtection="0"/>
    <xf numFmtId="0" fontId="31" fillId="45" borderId="7" applyNumberFormat="0" applyAlignment="0" applyProtection="0"/>
    <xf numFmtId="0" fontId="31" fillId="44" borderId="7" applyNumberFormat="0" applyFont="0" applyAlignment="0" applyProtection="0"/>
    <xf numFmtId="0" fontId="31" fillId="45" borderId="7" applyNumberFormat="0" applyAlignment="0" applyProtection="0"/>
    <xf numFmtId="0" fontId="27" fillId="38" borderId="8" applyNumberFormat="0" applyAlignment="0" applyProtection="0"/>
    <xf numFmtId="0" fontId="27" fillId="38" borderId="8" applyNumberFormat="0" applyAlignment="0" applyProtection="0"/>
    <xf numFmtId="0" fontId="88" fillId="72" borderId="82" applyNumberFormat="0" applyAlignment="0" applyProtection="0"/>
    <xf numFmtId="0" fontId="27" fillId="38" borderId="8" applyNumberFormat="0" applyAlignment="0" applyProtection="0"/>
    <xf numFmtId="0" fontId="88" fillId="72" borderId="82" applyNumberFormat="0" applyAlignment="0" applyProtection="0"/>
    <xf numFmtId="0" fontId="27" fillId="39" borderId="8" applyNumberFormat="0" applyAlignment="0" applyProtection="0"/>
    <xf numFmtId="0" fontId="27" fillId="38" borderId="8" applyNumberFormat="0" applyAlignment="0" applyProtection="0"/>
    <xf numFmtId="0" fontId="27" fillId="39" borderId="8" applyNumberFormat="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9"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9" fillId="0" borderId="0" applyFont="0" applyFill="0" applyBorder="0" applyAlignment="0" applyProtection="0"/>
    <xf numFmtId="0" fontId="37" fillId="0" borderId="0"/>
    <xf numFmtId="0" fontId="28" fillId="0" borderId="0" applyNumberFormat="0" applyFill="0" applyBorder="0" applyAlignment="0" applyProtection="0"/>
    <xf numFmtId="0" fontId="28" fillId="0" borderId="0" applyNumberFormat="0" applyFill="0" applyBorder="0" applyAlignment="0" applyProtection="0"/>
    <xf numFmtId="0" fontId="89" fillId="0" borderId="0" applyNumberFormat="0" applyFill="0" applyBorder="0" applyAlignment="0" applyProtection="0"/>
    <xf numFmtId="0" fontId="29" fillId="0" borderId="9" applyNumberFormat="0" applyFill="0" applyAlignment="0" applyProtection="0"/>
    <xf numFmtId="0" fontId="29" fillId="0" borderId="9" applyNumberFormat="0" applyFill="0" applyAlignment="0" applyProtection="0"/>
    <xf numFmtId="0" fontId="90" fillId="0" borderId="83" applyNumberFormat="0" applyFill="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91" fillId="0" borderId="0" applyNumberFormat="0" applyFill="0" applyBorder="0" applyAlignment="0" applyProtection="0"/>
    <xf numFmtId="40" fontId="40" fillId="0" borderId="0" applyFont="0" applyFill="0" applyBorder="0" applyAlignment="0" applyProtection="0"/>
    <xf numFmtId="38" fontId="40" fillId="0" borderId="0" applyFont="0" applyFill="0" applyBorder="0" applyAlignment="0" applyProtection="0"/>
    <xf numFmtId="0" fontId="41" fillId="0" borderId="0"/>
    <xf numFmtId="167" fontId="40" fillId="0" borderId="0" applyFont="0" applyFill="0" applyBorder="0" applyAlignment="0" applyProtection="0"/>
    <xf numFmtId="166" fontId="40" fillId="0" borderId="0" applyFont="0" applyFill="0" applyBorder="0" applyAlignment="0" applyProtection="0"/>
    <xf numFmtId="0" fontId="31" fillId="0" borderId="0"/>
    <xf numFmtId="0" fontId="1" fillId="0" borderId="0"/>
  </cellStyleXfs>
  <cellXfs count="977">
    <xf numFmtId="0" fontId="0" fillId="0" borderId="0" xfId="0"/>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2" fontId="3" fillId="0" borderId="0" xfId="0" applyNumberFormat="1" applyFont="1" applyAlignment="1">
      <alignment horizontal="right"/>
    </xf>
    <xf numFmtId="1" fontId="3" fillId="0" borderId="0" xfId="0" applyNumberFormat="1" applyFont="1" applyAlignment="1">
      <alignment horizontal="right"/>
    </xf>
    <xf numFmtId="0" fontId="4" fillId="0" borderId="0" xfId="0" applyFont="1" applyAlignment="1">
      <alignment horizontal="center"/>
    </xf>
    <xf numFmtId="0" fontId="5" fillId="0" borderId="0" xfId="0" applyFont="1" applyAlignment="1">
      <alignment horizontal="center"/>
    </xf>
    <xf numFmtId="0" fontId="3" fillId="0" borderId="0" xfId="0" applyFont="1" applyAlignment="1"/>
    <xf numFmtId="2" fontId="5" fillId="0" borderId="0" xfId="0" applyNumberFormat="1" applyFont="1" applyAlignment="1">
      <alignment horizontal="right"/>
    </xf>
    <xf numFmtId="0" fontId="3" fillId="0" borderId="10" xfId="0" applyFont="1" applyBorder="1" applyAlignment="1">
      <alignment horizontal="center"/>
    </xf>
    <xf numFmtId="0" fontId="7" fillId="0" borderId="0" xfId="0" applyFont="1"/>
    <xf numFmtId="0" fontId="6" fillId="0" borderId="0" xfId="0" applyFont="1"/>
    <xf numFmtId="0" fontId="3" fillId="0" borderId="11" xfId="0" applyFont="1" applyBorder="1" applyAlignment="1">
      <alignment horizontal="center"/>
    </xf>
    <xf numFmtId="0" fontId="3" fillId="0" borderId="0" xfId="0" applyFont="1" applyBorder="1" applyAlignment="1">
      <alignment horizontal="center"/>
    </xf>
    <xf numFmtId="0" fontId="7" fillId="0" borderId="12" xfId="0" applyFont="1" applyBorder="1"/>
    <xf numFmtId="10" fontId="5" fillId="0" borderId="0" xfId="0" applyNumberFormat="1" applyFont="1" applyAlignment="1">
      <alignment horizontal="center"/>
    </xf>
    <xf numFmtId="0" fontId="9" fillId="0" borderId="0" xfId="0" applyFont="1"/>
    <xf numFmtId="2" fontId="3" fillId="0" borderId="0" xfId="0" applyNumberFormat="1" applyFont="1" applyBorder="1" applyAlignment="1">
      <alignment horizontal="right"/>
    </xf>
    <xf numFmtId="0" fontId="3" fillId="0" borderId="0" xfId="0" applyFont="1" applyBorder="1" applyAlignment="1">
      <alignment horizontal="left"/>
    </xf>
    <xf numFmtId="0" fontId="3" fillId="0" borderId="12" xfId="0" applyFont="1" applyBorder="1" applyAlignment="1">
      <alignment horizontal="center"/>
    </xf>
    <xf numFmtId="0" fontId="5" fillId="0" borderId="12" xfId="0" applyFont="1" applyBorder="1" applyAlignment="1">
      <alignment horizontal="center"/>
    </xf>
    <xf numFmtId="0" fontId="5" fillId="0" borderId="10" xfId="0" applyFont="1" applyBorder="1" applyAlignment="1">
      <alignment horizontal="center"/>
    </xf>
    <xf numFmtId="1" fontId="3" fillId="0" borderId="10" xfId="0" applyNumberFormat="1" applyFont="1" applyBorder="1" applyAlignment="1">
      <alignment horizontal="center"/>
    </xf>
    <xf numFmtId="2" fontId="4" fillId="0" borderId="0" xfId="0" applyNumberFormat="1" applyFont="1" applyAlignment="1">
      <alignment horizontal="left"/>
    </xf>
    <xf numFmtId="0" fontId="3" fillId="0" borderId="11" xfId="0" applyFont="1" applyBorder="1" applyAlignment="1">
      <alignment horizontal="left"/>
    </xf>
    <xf numFmtId="0" fontId="5" fillId="0" borderId="11" xfId="0" applyFont="1" applyBorder="1" applyAlignment="1">
      <alignment horizontal="center"/>
    </xf>
    <xf numFmtId="2" fontId="3" fillId="0" borderId="11" xfId="0" applyNumberFormat="1" applyFont="1" applyBorder="1" applyAlignment="1">
      <alignment horizontal="left"/>
    </xf>
    <xf numFmtId="2" fontId="3" fillId="0" borderId="11" xfId="0" applyNumberFormat="1" applyFont="1" applyBorder="1" applyAlignment="1">
      <alignment horizontal="right"/>
    </xf>
    <xf numFmtId="0" fontId="3" fillId="0" borderId="12" xfId="0" applyFont="1" applyBorder="1" applyAlignment="1">
      <alignment horizontal="left"/>
    </xf>
    <xf numFmtId="2" fontId="3" fillId="0" borderId="12" xfId="0" applyNumberFormat="1" applyFont="1" applyBorder="1" applyAlignment="1">
      <alignment horizontal="left"/>
    </xf>
    <xf numFmtId="2" fontId="3" fillId="0" borderId="12" xfId="0" applyNumberFormat="1" applyFont="1" applyBorder="1" applyAlignment="1">
      <alignment horizontal="right"/>
    </xf>
    <xf numFmtId="0" fontId="0" fillId="0" borderId="0" xfId="0" applyAlignment="1">
      <alignment horizontal="center"/>
    </xf>
    <xf numFmtId="0" fontId="4" fillId="0" borderId="10" xfId="0" applyFont="1" applyBorder="1" applyAlignment="1"/>
    <xf numFmtId="0" fontId="6" fillId="0" borderId="0" xfId="0" applyFont="1" applyAlignment="1">
      <alignment horizontal="center"/>
    </xf>
    <xf numFmtId="10" fontId="9" fillId="0" borderId="0" xfId="0" applyNumberFormat="1" applyFont="1" applyAlignment="1">
      <alignment horizontal="center"/>
    </xf>
    <xf numFmtId="2" fontId="3" fillId="46" borderId="0" xfId="0" applyNumberFormat="1" applyFont="1" applyFill="1" applyAlignment="1">
      <alignment horizontal="center"/>
    </xf>
    <xf numFmtId="0" fontId="3" fillId="46" borderId="0" xfId="0" applyFont="1" applyFill="1" applyAlignment="1">
      <alignment horizontal="center"/>
    </xf>
    <xf numFmtId="2" fontId="3" fillId="46" borderId="0" xfId="0" applyNumberFormat="1" applyFont="1" applyFill="1" applyAlignment="1">
      <alignment horizontal="right"/>
    </xf>
    <xf numFmtId="2" fontId="6" fillId="0" borderId="0" xfId="0" applyNumberFormat="1" applyFont="1"/>
    <xf numFmtId="2" fontId="3" fillId="0" borderId="0" xfId="0" applyNumberFormat="1" applyFont="1" applyAlignment="1">
      <alignment horizontal="center"/>
    </xf>
    <xf numFmtId="2" fontId="3" fillId="0" borderId="0" xfId="0" applyNumberFormat="1" applyFont="1"/>
    <xf numFmtId="0" fontId="3" fillId="0" borderId="0" xfId="0" applyFont="1"/>
    <xf numFmtId="1" fontId="3" fillId="0" borderId="0" xfId="0" applyNumberFormat="1" applyFont="1" applyAlignment="1">
      <alignment horizontal="center"/>
    </xf>
    <xf numFmtId="0" fontId="6" fillId="0" borderId="0" xfId="0" applyFont="1" applyAlignment="1">
      <alignment horizontal="justify" vertical="top"/>
    </xf>
    <xf numFmtId="0" fontId="6" fillId="0" borderId="0" xfId="0" quotePrefix="1" applyFont="1"/>
    <xf numFmtId="164" fontId="6" fillId="0" borderId="0" xfId="0" applyNumberFormat="1" applyFont="1"/>
    <xf numFmtId="0" fontId="3" fillId="0" borderId="0" xfId="285" applyFont="1"/>
    <xf numFmtId="0" fontId="3" fillId="0" borderId="0" xfId="285" applyFont="1" applyAlignment="1"/>
    <xf numFmtId="0" fontId="92" fillId="0" borderId="0" xfId="285" applyFont="1" applyAlignment="1">
      <alignment vertical="center"/>
    </xf>
    <xf numFmtId="0" fontId="93" fillId="0" borderId="0" xfId="285" applyFont="1" applyAlignment="1">
      <alignment horizontal="left" vertical="center" wrapText="1"/>
    </xf>
    <xf numFmtId="0" fontId="3" fillId="0" borderId="0" xfId="285" applyFont="1" applyAlignment="1">
      <alignment horizontal="center"/>
    </xf>
    <xf numFmtId="0" fontId="4" fillId="0" borderId="0" xfId="285" applyFont="1" applyAlignment="1">
      <alignment vertical="center"/>
    </xf>
    <xf numFmtId="0" fontId="31" fillId="0" borderId="0" xfId="285" applyFont="1"/>
    <xf numFmtId="0" fontId="31" fillId="0" borderId="0" xfId="285" applyFont="1" applyAlignment="1">
      <alignment horizontal="center"/>
    </xf>
    <xf numFmtId="2" fontId="31" fillId="0" borderId="0" xfId="285" applyNumberFormat="1" applyFont="1" applyAlignment="1">
      <alignment horizontal="center"/>
    </xf>
    <xf numFmtId="0" fontId="31" fillId="0" borderId="0" xfId="285" applyFont="1" applyAlignment="1">
      <alignment horizontal="right"/>
    </xf>
    <xf numFmtId="2" fontId="13" fillId="0" borderId="0" xfId="285" applyNumberFormat="1" applyFont="1" applyAlignment="1">
      <alignment horizontal="center"/>
    </xf>
    <xf numFmtId="0" fontId="13" fillId="0" borderId="0" xfId="285" applyFont="1"/>
    <xf numFmtId="0" fontId="4" fillId="0" borderId="0" xfId="285" applyFont="1"/>
    <xf numFmtId="2" fontId="4" fillId="0" borderId="0" xfId="285" applyNumberFormat="1" applyFont="1" applyAlignment="1">
      <alignment horizontal="center"/>
    </xf>
    <xf numFmtId="0" fontId="73" fillId="0" borderId="0" xfId="285"/>
    <xf numFmtId="0" fontId="31" fillId="0" borderId="0" xfId="287" applyFont="1" applyAlignment="1">
      <alignment horizontal="center"/>
    </xf>
    <xf numFmtId="2" fontId="31" fillId="0" borderId="0" xfId="287" applyNumberFormat="1" applyFont="1" applyAlignment="1">
      <alignment horizontal="center"/>
    </xf>
    <xf numFmtId="0" fontId="13" fillId="0" borderId="0" xfId="287" applyFont="1" applyAlignment="1">
      <alignment horizontal="right"/>
    </xf>
    <xf numFmtId="0" fontId="73" fillId="0" borderId="0" xfId="285" quotePrefix="1" applyAlignment="1">
      <alignment horizontal="center"/>
    </xf>
    <xf numFmtId="2" fontId="13" fillId="0" borderId="0" xfId="287" applyNumberFormat="1" applyFont="1" applyAlignment="1">
      <alignment horizontal="center"/>
    </xf>
    <xf numFmtId="0" fontId="73" fillId="0" borderId="0" xfId="285" applyAlignment="1">
      <alignment horizontal="center" vertical="top"/>
    </xf>
    <xf numFmtId="0" fontId="8" fillId="0" borderId="0" xfId="287" applyFont="1" applyAlignment="1">
      <alignment vertical="top"/>
    </xf>
    <xf numFmtId="0" fontId="13" fillId="0" borderId="0" xfId="287" applyFont="1" applyAlignment="1">
      <alignment vertical="top"/>
    </xf>
    <xf numFmtId="0" fontId="73" fillId="0" borderId="0" xfId="285" applyAlignment="1">
      <alignment horizontal="center" vertical="center"/>
    </xf>
    <xf numFmtId="0" fontId="8" fillId="0" borderId="0" xfId="287" applyFont="1" applyAlignment="1">
      <alignment horizontal="left" vertical="top"/>
    </xf>
    <xf numFmtId="0" fontId="3" fillId="0" borderId="0" xfId="285" applyFont="1" applyAlignment="1">
      <alignment horizontal="left"/>
    </xf>
    <xf numFmtId="2" fontId="12" fillId="0" borderId="0" xfId="285" applyNumberFormat="1" applyFont="1" applyAlignment="1">
      <alignment horizontal="center"/>
    </xf>
    <xf numFmtId="2" fontId="3" fillId="0" borderId="0" xfId="285" applyNumberFormat="1" applyFont="1" applyAlignment="1">
      <alignment horizontal="center"/>
    </xf>
    <xf numFmtId="9" fontId="3" fillId="0" borderId="0" xfId="285" applyNumberFormat="1" applyFont="1"/>
    <xf numFmtId="9" fontId="3" fillId="0" borderId="0" xfId="285" applyNumberFormat="1" applyFont="1" applyAlignment="1">
      <alignment horizontal="center"/>
    </xf>
    <xf numFmtId="0" fontId="3" fillId="0" borderId="0" xfId="285" applyFont="1" applyAlignment="1">
      <alignment horizontal="right"/>
    </xf>
    <xf numFmtId="0" fontId="4" fillId="0" borderId="0" xfId="285" applyFont="1" applyAlignment="1">
      <alignment horizontal="right"/>
    </xf>
    <xf numFmtId="0" fontId="4" fillId="0" borderId="0" xfId="285" applyFont="1" applyAlignment="1">
      <alignment horizontal="center"/>
    </xf>
    <xf numFmtId="2" fontId="3" fillId="0" borderId="0" xfId="285" applyNumberFormat="1" applyFont="1"/>
    <xf numFmtId="2" fontId="11" fillId="0" borderId="0" xfId="285" applyNumberFormat="1" applyFont="1" applyAlignment="1">
      <alignment horizontal="center"/>
    </xf>
    <xf numFmtId="0" fontId="12" fillId="0" borderId="0" xfId="285" applyFont="1"/>
    <xf numFmtId="164" fontId="3" fillId="0" borderId="0" xfId="285" applyNumberFormat="1" applyFont="1" applyAlignment="1">
      <alignment horizontal="center"/>
    </xf>
    <xf numFmtId="2" fontId="12" fillId="0" borderId="0" xfId="285" applyNumberFormat="1" applyFont="1" applyFill="1" applyAlignment="1">
      <alignment horizontal="center"/>
    </xf>
    <xf numFmtId="2" fontId="3" fillId="7" borderId="0" xfId="285" applyNumberFormat="1" applyFont="1" applyFill="1" applyAlignment="1">
      <alignment horizontal="center"/>
    </xf>
    <xf numFmtId="2" fontId="4" fillId="0" borderId="0" xfId="285" applyNumberFormat="1" applyFont="1" applyFill="1" applyAlignment="1">
      <alignment horizontal="center"/>
    </xf>
    <xf numFmtId="2" fontId="12" fillId="0" borderId="0" xfId="285" applyNumberFormat="1" applyFont="1"/>
    <xf numFmtId="0" fontId="11" fillId="0" borderId="0" xfId="285" applyFont="1"/>
    <xf numFmtId="2" fontId="12" fillId="7" borderId="0" xfId="285" applyNumberFormat="1" applyFont="1" applyFill="1" applyAlignment="1">
      <alignment horizontal="center"/>
    </xf>
    <xf numFmtId="0" fontId="12" fillId="0" borderId="0" xfId="285" applyFont="1" applyAlignment="1">
      <alignment horizontal="center"/>
    </xf>
    <xf numFmtId="0" fontId="4" fillId="0" borderId="0" xfId="285" applyFont="1" applyAlignment="1">
      <alignment horizontal="left"/>
    </xf>
    <xf numFmtId="1" fontId="3" fillId="0" borderId="0" xfId="285" applyNumberFormat="1" applyFont="1" applyAlignment="1">
      <alignment horizontal="center"/>
    </xf>
    <xf numFmtId="2" fontId="3" fillId="0" borderId="0" xfId="285" applyNumberFormat="1" applyFont="1" applyAlignment="1">
      <alignment horizontal="left"/>
    </xf>
    <xf numFmtId="2" fontId="3" fillId="11" borderId="0" xfId="285" applyNumberFormat="1" applyFont="1" applyFill="1" applyAlignment="1">
      <alignment horizontal="center"/>
    </xf>
    <xf numFmtId="2" fontId="3" fillId="0" borderId="13" xfId="285" applyNumberFormat="1" applyFont="1" applyBorder="1"/>
    <xf numFmtId="2" fontId="11" fillId="0" borderId="0" xfId="285" applyNumberFormat="1" applyFont="1"/>
    <xf numFmtId="9" fontId="3" fillId="0" borderId="0" xfId="285" applyNumberFormat="1" applyFont="1" applyAlignment="1">
      <alignment horizontal="right"/>
    </xf>
    <xf numFmtId="10" fontId="3" fillId="0" borderId="0" xfId="285" applyNumberFormat="1" applyFont="1" applyAlignment="1">
      <alignment horizontal="center"/>
    </xf>
    <xf numFmtId="2" fontId="3" fillId="0" borderId="0" xfId="285" applyNumberFormat="1" applyFont="1" applyAlignment="1"/>
    <xf numFmtId="165" fontId="12" fillId="0" borderId="0" xfId="285" applyNumberFormat="1" applyFont="1" applyAlignment="1">
      <alignment horizontal="center"/>
    </xf>
    <xf numFmtId="165" fontId="3" fillId="0" borderId="0" xfId="285" applyNumberFormat="1" applyFont="1" applyAlignment="1">
      <alignment horizontal="center"/>
    </xf>
    <xf numFmtId="2" fontId="5" fillId="5" borderId="0" xfId="285" applyNumberFormat="1" applyFont="1" applyFill="1" applyAlignment="1">
      <alignment horizontal="center"/>
    </xf>
    <xf numFmtId="0" fontId="5" fillId="0" borderId="0" xfId="285" applyFont="1" applyAlignment="1">
      <alignment horizontal="right"/>
    </xf>
    <xf numFmtId="2" fontId="4" fillId="0" borderId="0" xfId="285" applyNumberFormat="1" applyFont="1"/>
    <xf numFmtId="0" fontId="11" fillId="0" borderId="0" xfId="285" applyFont="1" applyAlignment="1">
      <alignment horizontal="center"/>
    </xf>
    <xf numFmtId="2" fontId="11" fillId="11" borderId="0" xfId="285" applyNumberFormat="1" applyFont="1" applyFill="1" applyAlignment="1">
      <alignment horizontal="center"/>
    </xf>
    <xf numFmtId="165" fontId="4" fillId="0" borderId="0" xfId="285" applyNumberFormat="1" applyFont="1" applyAlignment="1">
      <alignment horizontal="center"/>
    </xf>
    <xf numFmtId="0" fontId="3" fillId="0" borderId="0" xfId="0" applyFont="1" applyAlignment="1">
      <alignment horizontal="center" vertical="top"/>
    </xf>
    <xf numFmtId="0" fontId="5" fillId="0" borderId="0" xfId="0" applyFont="1" applyAlignment="1">
      <alignment horizontal="center" vertical="top"/>
    </xf>
    <xf numFmtId="0" fontId="5" fillId="0" borderId="0" xfId="0" applyFont="1" applyAlignment="1">
      <alignment horizontal="justify" vertical="top"/>
    </xf>
    <xf numFmtId="0" fontId="3" fillId="0" borderId="0" xfId="0" quotePrefix="1" applyFont="1" applyAlignment="1">
      <alignment horizontal="center"/>
    </xf>
    <xf numFmtId="164" fontId="3" fillId="0" borderId="0" xfId="0" applyNumberFormat="1" applyFont="1" applyAlignment="1">
      <alignment horizontal="center"/>
    </xf>
    <xf numFmtId="0" fontId="3" fillId="0" borderId="0" xfId="0" applyFont="1" applyBorder="1"/>
    <xf numFmtId="0" fontId="3" fillId="0" borderId="0" xfId="0" applyFont="1" applyAlignment="1">
      <alignment horizontal="justify"/>
    </xf>
    <xf numFmtId="0" fontId="3" fillId="0" borderId="0" xfId="0" applyFont="1" applyFill="1" applyBorder="1" applyAlignment="1">
      <alignment horizontal="center"/>
    </xf>
    <xf numFmtId="0" fontId="45" fillId="0" borderId="0" xfId="0" applyFont="1"/>
    <xf numFmtId="0" fontId="45" fillId="0" borderId="0" xfId="0" applyFont="1" applyAlignment="1">
      <alignment horizontal="left"/>
    </xf>
    <xf numFmtId="0" fontId="45" fillId="0" borderId="0" xfId="0" applyFont="1" applyAlignment="1">
      <alignment horizontal="left" vertical="top"/>
    </xf>
    <xf numFmtId="0" fontId="31" fillId="0" borderId="0" xfId="283" applyFill="1"/>
    <xf numFmtId="0" fontId="31" fillId="0" borderId="0" xfId="283" applyFill="1" applyAlignment="1">
      <alignment horizontal="center"/>
    </xf>
    <xf numFmtId="0" fontId="90" fillId="0" borderId="0" xfId="283" applyFont="1" applyFill="1" applyAlignment="1">
      <alignment horizontal="center"/>
    </xf>
    <xf numFmtId="0" fontId="90" fillId="0" borderId="0" xfId="283" applyFont="1" applyFill="1" applyAlignment="1"/>
    <xf numFmtId="0" fontId="90" fillId="0" borderId="0" xfId="283" applyFont="1" applyFill="1"/>
    <xf numFmtId="0" fontId="94" fillId="0" borderId="0" xfId="283" applyFont="1" applyFill="1" applyAlignment="1">
      <alignment vertical="center"/>
    </xf>
    <xf numFmtId="0" fontId="3" fillId="0" borderId="0" xfId="283" applyFont="1" applyFill="1" applyAlignment="1">
      <alignment horizontal="center" vertical="center"/>
    </xf>
    <xf numFmtId="0" fontId="3" fillId="0" borderId="0" xfId="283" applyFont="1" applyFill="1" applyAlignment="1">
      <alignment vertical="center"/>
    </xf>
    <xf numFmtId="0" fontId="3" fillId="0" borderId="0" xfId="283" applyFont="1" applyFill="1" applyAlignment="1"/>
    <xf numFmtId="0" fontId="95" fillId="0" borderId="0" xfId="283" applyFont="1" applyFill="1"/>
    <xf numFmtId="0" fontId="13" fillId="0" borderId="0" xfId="283" applyFont="1" applyFill="1"/>
    <xf numFmtId="0" fontId="90" fillId="0" borderId="16" xfId="283" applyFont="1" applyFill="1" applyBorder="1" applyAlignment="1">
      <alignment horizontal="center" vertical="top" wrapText="1"/>
    </xf>
    <xf numFmtId="0" fontId="90" fillId="0" borderId="16" xfId="283" applyFont="1" applyFill="1" applyBorder="1" applyAlignment="1">
      <alignment horizontal="center" vertical="top"/>
    </xf>
    <xf numFmtId="0" fontId="90" fillId="0" borderId="0" xfId="283" applyFont="1" applyFill="1" applyAlignment="1">
      <alignment vertical="top"/>
    </xf>
    <xf numFmtId="0" fontId="13" fillId="0" borderId="17" xfId="283" applyFont="1" applyFill="1" applyBorder="1" applyAlignment="1">
      <alignment vertical="top"/>
    </xf>
    <xf numFmtId="1" fontId="31" fillId="0" borderId="17" xfId="283" applyNumberFormat="1" applyFill="1" applyBorder="1" applyAlignment="1">
      <alignment horizontal="center" vertical="top"/>
    </xf>
    <xf numFmtId="0" fontId="31" fillId="0" borderId="17" xfId="283" applyFill="1" applyBorder="1" applyAlignment="1">
      <alignment horizontal="center" vertical="top"/>
    </xf>
    <xf numFmtId="0" fontId="31" fillId="0" borderId="17" xfId="283" applyFont="1" applyFill="1" applyBorder="1" applyAlignment="1">
      <alignment vertical="top" wrapText="1"/>
    </xf>
    <xf numFmtId="1" fontId="31" fillId="0" borderId="17" xfId="283" applyNumberFormat="1" applyFont="1" applyFill="1" applyBorder="1" applyAlignment="1">
      <alignment horizontal="center" vertical="top"/>
    </xf>
    <xf numFmtId="2" fontId="31" fillId="0" borderId="17" xfId="283" applyNumberFormat="1" applyFill="1" applyBorder="1" applyAlignment="1">
      <alignment horizontal="center" vertical="top"/>
    </xf>
    <xf numFmtId="0" fontId="31" fillId="0" borderId="0" xfId="283" applyFill="1" applyAlignment="1">
      <alignment vertical="top"/>
    </xf>
    <xf numFmtId="0" fontId="31" fillId="0" borderId="14" xfId="283" applyFont="1" applyFill="1" applyBorder="1" applyAlignment="1">
      <alignment vertical="top" wrapText="1"/>
    </xf>
    <xf numFmtId="1" fontId="31" fillId="0" borderId="14" xfId="283" applyNumberFormat="1" applyFill="1" applyBorder="1" applyAlignment="1">
      <alignment horizontal="center" vertical="top"/>
    </xf>
    <xf numFmtId="2" fontId="31" fillId="0" borderId="14" xfId="283" applyNumberFormat="1" applyFill="1" applyBorder="1" applyAlignment="1">
      <alignment horizontal="center" vertical="top"/>
    </xf>
    <xf numFmtId="0" fontId="13" fillId="0" borderId="18" xfId="283" applyFont="1" applyFill="1" applyBorder="1" applyAlignment="1">
      <alignment horizontal="left" vertical="top" wrapText="1"/>
    </xf>
    <xf numFmtId="0" fontId="31" fillId="0" borderId="14" xfId="283" applyFont="1" applyFill="1" applyBorder="1" applyAlignment="1">
      <alignment horizontal="center" vertical="top"/>
    </xf>
    <xf numFmtId="2" fontId="31" fillId="0" borderId="14" xfId="283" applyNumberFormat="1" applyFont="1" applyFill="1" applyBorder="1" applyAlignment="1">
      <alignment horizontal="center" vertical="top"/>
    </xf>
    <xf numFmtId="0" fontId="31" fillId="0" borderId="14" xfId="283" applyFont="1" applyFill="1" applyBorder="1" applyAlignment="1">
      <alignment horizontal="center" vertical="center"/>
    </xf>
    <xf numFmtId="0" fontId="31" fillId="0" borderId="0" xfId="283" applyFont="1" applyFill="1" applyAlignment="1">
      <alignment vertical="top"/>
    </xf>
    <xf numFmtId="0" fontId="31" fillId="0" borderId="18" xfId="283" applyFont="1" applyFill="1" applyBorder="1" applyAlignment="1">
      <alignment horizontal="center" vertical="top"/>
    </xf>
    <xf numFmtId="0" fontId="31" fillId="0" borderId="17" xfId="283" applyFont="1" applyFill="1" applyBorder="1" applyAlignment="1">
      <alignment horizontal="center" vertical="center"/>
    </xf>
    <xf numFmtId="0" fontId="96" fillId="0" borderId="14" xfId="283" applyFont="1" applyFill="1" applyBorder="1" applyAlignment="1">
      <alignment vertical="top" wrapText="1"/>
    </xf>
    <xf numFmtId="0" fontId="96" fillId="0" borderId="14" xfId="283" applyFont="1" applyFill="1" applyBorder="1" applyAlignment="1">
      <alignment horizontal="center" vertical="top"/>
    </xf>
    <xf numFmtId="2" fontId="96" fillId="0" borderId="14" xfId="283" applyNumberFormat="1" applyFont="1" applyFill="1" applyBorder="1" applyAlignment="1">
      <alignment horizontal="center" vertical="top"/>
    </xf>
    <xf numFmtId="0" fontId="31" fillId="0" borderId="14" xfId="283" applyFill="1" applyBorder="1" applyAlignment="1">
      <alignment vertical="top" wrapText="1"/>
    </xf>
    <xf numFmtId="0" fontId="31" fillId="0" borderId="14" xfId="283" applyFill="1" applyBorder="1" applyAlignment="1">
      <alignment horizontal="center" vertical="top"/>
    </xf>
    <xf numFmtId="0" fontId="13" fillId="0" borderId="14" xfId="283" applyFont="1" applyFill="1" applyBorder="1" applyAlignment="1">
      <alignment vertical="top" wrapText="1"/>
    </xf>
    <xf numFmtId="0" fontId="31" fillId="0" borderId="14" xfId="283" applyFill="1" applyBorder="1" applyAlignment="1">
      <alignment vertical="top"/>
    </xf>
    <xf numFmtId="0" fontId="31" fillId="0" borderId="14" xfId="283" applyFont="1" applyFill="1" applyBorder="1" applyAlignment="1">
      <alignment horizontal="left" vertical="top" wrapText="1"/>
    </xf>
    <xf numFmtId="0" fontId="13" fillId="0" borderId="14" xfId="283" applyFont="1" applyFill="1" applyBorder="1" applyAlignment="1">
      <alignment vertical="top"/>
    </xf>
    <xf numFmtId="0" fontId="13" fillId="0" borderId="14" xfId="283" applyFont="1" applyFill="1" applyBorder="1"/>
    <xf numFmtId="0" fontId="31" fillId="0" borderId="14" xfId="283" applyFill="1" applyBorder="1"/>
    <xf numFmtId="0" fontId="90" fillId="0" borderId="14" xfId="283" applyFont="1" applyFill="1" applyBorder="1"/>
    <xf numFmtId="2" fontId="90" fillId="0" borderId="14" xfId="283" applyNumberFormat="1" applyFont="1" applyFill="1" applyBorder="1"/>
    <xf numFmtId="2" fontId="90" fillId="0" borderId="14" xfId="283" applyNumberFormat="1" applyFont="1" applyFill="1" applyBorder="1" applyAlignment="1">
      <alignment horizontal="center"/>
    </xf>
    <xf numFmtId="0" fontId="48" fillId="0" borderId="0" xfId="304" applyFont="1" applyAlignment="1">
      <alignment wrapText="1"/>
    </xf>
    <xf numFmtId="0" fontId="49" fillId="0" borderId="0" xfId="304" applyFont="1" applyAlignment="1">
      <alignment horizontal="center" vertical="top"/>
    </xf>
    <xf numFmtId="0" fontId="50" fillId="0" borderId="0" xfId="292" applyFont="1" applyAlignment="1">
      <alignment vertical="top" wrapText="1"/>
    </xf>
    <xf numFmtId="0" fontId="48" fillId="0" borderId="0" xfId="304" applyFont="1" applyAlignment="1">
      <alignment horizontal="center" vertical="top" wrapText="1"/>
    </xf>
    <xf numFmtId="0" fontId="54" fillId="0" borderId="14" xfId="304" applyFont="1" applyBorder="1" applyAlignment="1">
      <alignment horizontal="center" vertical="top" wrapText="1"/>
    </xf>
    <xf numFmtId="0" fontId="47" fillId="0" borderId="18" xfId="304" applyFont="1" applyBorder="1" applyAlignment="1">
      <alignment horizontal="center" vertical="center" wrapText="1"/>
    </xf>
    <xf numFmtId="0" fontId="48" fillId="0" borderId="19" xfId="304" applyFont="1" applyBorder="1" applyAlignment="1">
      <alignment wrapText="1"/>
    </xf>
    <xf numFmtId="0" fontId="55" fillId="0" borderId="85" xfId="304" applyFont="1" applyBorder="1" applyAlignment="1">
      <alignment wrapText="1"/>
    </xf>
    <xf numFmtId="2" fontId="54" fillId="0" borderId="86" xfId="289" applyNumberFormat="1" applyFont="1" applyBorder="1" applyAlignment="1">
      <alignment vertical="top" wrapText="1"/>
    </xf>
    <xf numFmtId="0" fontId="54" fillId="0" borderId="87" xfId="304" applyFont="1" applyBorder="1" applyAlignment="1">
      <alignment horizontal="center" vertical="center" wrapText="1"/>
    </xf>
    <xf numFmtId="0" fontId="54" fillId="0" borderId="88" xfId="304" applyFont="1" applyBorder="1" applyAlignment="1">
      <alignment horizontal="center" vertical="top" wrapText="1"/>
    </xf>
    <xf numFmtId="0" fontId="55" fillId="0" borderId="89" xfId="293" applyFont="1" applyBorder="1" applyAlignment="1">
      <alignment horizontal="justify" vertical="top" wrapText="1"/>
    </xf>
    <xf numFmtId="0" fontId="55" fillId="0" borderId="89" xfId="293" applyFont="1" applyBorder="1" applyAlignment="1">
      <alignment horizontal="center" vertical="top" wrapText="1"/>
    </xf>
    <xf numFmtId="0" fontId="55" fillId="0" borderId="89" xfId="293" quotePrefix="1" applyFont="1" applyBorder="1" applyAlignment="1">
      <alignment horizontal="center" vertical="top" wrapText="1"/>
    </xf>
    <xf numFmtId="0" fontId="55" fillId="0" borderId="90" xfId="293" applyFont="1" applyBorder="1" applyAlignment="1">
      <alignment horizontal="justify" vertical="top" wrapText="1"/>
    </xf>
    <xf numFmtId="0" fontId="97" fillId="0" borderId="91" xfId="304" applyFont="1" applyFill="1" applyBorder="1" applyAlignment="1">
      <alignment horizontal="justify" vertical="top" wrapText="1"/>
    </xf>
    <xf numFmtId="2" fontId="55" fillId="0" borderId="89" xfId="293" applyNumberFormat="1" applyFont="1" applyBorder="1" applyAlignment="1">
      <alignment horizontal="justify" vertical="top" wrapText="1"/>
    </xf>
    <xf numFmtId="2" fontId="54" fillId="0" borderId="89" xfId="293" applyNumberFormat="1" applyFont="1" applyBorder="1" applyAlignment="1">
      <alignment horizontal="justify" vertical="top" wrapText="1"/>
    </xf>
    <xf numFmtId="0" fontId="55" fillId="0" borderId="89" xfId="293" applyFont="1" applyFill="1" applyBorder="1" applyAlignment="1">
      <alignment horizontal="justify" vertical="top" wrapText="1"/>
    </xf>
    <xf numFmtId="0" fontId="48" fillId="0" borderId="0" xfId="304" applyFont="1" applyFill="1" applyAlignment="1">
      <alignment wrapText="1"/>
    </xf>
    <xf numFmtId="0" fontId="48" fillId="0" borderId="0" xfId="304" applyFont="1" applyAlignment="1">
      <alignment vertical="top" wrapText="1"/>
    </xf>
    <xf numFmtId="0" fontId="97" fillId="0" borderId="89" xfId="304" applyFont="1" applyBorder="1" applyAlignment="1">
      <alignment horizontal="center" vertical="top" wrapText="1"/>
    </xf>
    <xf numFmtId="3" fontId="97" fillId="0" borderId="89" xfId="304" applyNumberFormat="1" applyFont="1" applyBorder="1" applyAlignment="1">
      <alignment horizontal="center" vertical="top" wrapText="1"/>
    </xf>
    <xf numFmtId="0" fontId="55" fillId="0" borderId="90" xfId="283" applyFont="1" applyBorder="1" applyAlignment="1">
      <alignment horizontal="justify" vertical="top" wrapText="1"/>
    </xf>
    <xf numFmtId="2" fontId="55" fillId="0" borderId="89" xfId="293" applyNumberFormat="1" applyFont="1" applyFill="1" applyBorder="1" applyAlignment="1">
      <alignment horizontal="justify" vertical="top" wrapText="1"/>
    </xf>
    <xf numFmtId="0" fontId="54" fillId="0" borderId="0" xfId="304" applyFont="1" applyBorder="1" applyAlignment="1">
      <alignment horizontal="center" vertical="top" wrapText="1"/>
    </xf>
    <xf numFmtId="0" fontId="54" fillId="0" borderId="0" xfId="293" applyFont="1" applyBorder="1" applyAlignment="1">
      <alignment horizontal="justify" vertical="top" wrapText="1"/>
    </xf>
    <xf numFmtId="0" fontId="98" fillId="0" borderId="0" xfId="297" applyFont="1" applyFill="1" applyBorder="1" applyAlignment="1">
      <alignment horizontal="center" vertical="top"/>
    </xf>
    <xf numFmtId="0" fontId="98" fillId="0" borderId="0" xfId="297" quotePrefix="1" applyFont="1" applyFill="1" applyBorder="1" applyAlignment="1">
      <alignment horizontal="center" vertical="top"/>
    </xf>
    <xf numFmtId="0" fontId="98" fillId="0" borderId="0" xfId="297" applyFont="1" applyBorder="1" applyAlignment="1">
      <alignment horizontal="justify" vertical="top"/>
    </xf>
    <xf numFmtId="0" fontId="54" fillId="0" borderId="85" xfId="304" applyFont="1" applyBorder="1" applyAlignment="1">
      <alignment horizontal="center" vertical="top" wrapText="1"/>
    </xf>
    <xf numFmtId="2" fontId="54" fillId="0" borderId="86" xfId="289" applyNumberFormat="1" applyFont="1" applyBorder="1" applyAlignment="1">
      <alignment horizontal="justify" vertical="top" wrapText="1"/>
    </xf>
    <xf numFmtId="0" fontId="98" fillId="0" borderId="86" xfId="297" applyFont="1" applyFill="1" applyBorder="1" applyAlignment="1">
      <alignment horizontal="center" vertical="top"/>
    </xf>
    <xf numFmtId="0" fontId="98" fillId="0" borderId="86" xfId="297" quotePrefix="1" applyFont="1" applyFill="1" applyBorder="1" applyAlignment="1">
      <alignment horizontal="center" vertical="top"/>
    </xf>
    <xf numFmtId="0" fontId="98" fillId="0" borderId="87" xfId="297" applyFont="1" applyBorder="1" applyAlignment="1">
      <alignment horizontal="justify" vertical="top"/>
    </xf>
    <xf numFmtId="0" fontId="55" fillId="0" borderId="89" xfId="293" applyFont="1" applyBorder="1" applyAlignment="1">
      <alignment horizontal="justify" vertical="top"/>
    </xf>
    <xf numFmtId="0" fontId="55" fillId="0" borderId="90" xfId="297" applyFont="1" applyBorder="1" applyAlignment="1">
      <alignment horizontal="justify" vertical="top"/>
    </xf>
    <xf numFmtId="0" fontId="55" fillId="0" borderId="89" xfId="293" applyFont="1" applyFill="1" applyBorder="1" applyAlignment="1">
      <alignment horizontal="center" vertical="top" wrapText="1"/>
    </xf>
    <xf numFmtId="0" fontId="97" fillId="0" borderId="91" xfId="304" applyFont="1" applyFill="1" applyBorder="1" applyAlignment="1">
      <alignment horizontal="center" vertical="top" wrapText="1"/>
    </xf>
    <xf numFmtId="0" fontId="97" fillId="0" borderId="92" xfId="304" applyNumberFormat="1" applyFont="1" applyFill="1" applyBorder="1" applyAlignment="1">
      <alignment horizontal="justify" vertical="top" wrapText="1"/>
    </xf>
    <xf numFmtId="0" fontId="56" fillId="0" borderId="92" xfId="283" applyFont="1" applyFill="1" applyBorder="1" applyAlignment="1">
      <alignment horizontal="justify" vertical="top" wrapText="1"/>
    </xf>
    <xf numFmtId="0" fontId="56" fillId="0" borderId="92" xfId="293" applyFont="1" applyFill="1" applyBorder="1" applyAlignment="1">
      <alignment horizontal="justify" vertical="top" wrapText="1"/>
    </xf>
    <xf numFmtId="2" fontId="47" fillId="0" borderId="0" xfId="304" applyNumberFormat="1" applyFont="1" applyAlignment="1">
      <alignment wrapText="1"/>
    </xf>
    <xf numFmtId="2" fontId="99" fillId="0" borderId="91" xfId="304" applyNumberFormat="1" applyFont="1" applyFill="1" applyBorder="1" applyAlignment="1">
      <alignment horizontal="justify" vertical="top" wrapText="1"/>
    </xf>
    <xf numFmtId="0" fontId="48" fillId="0" borderId="0" xfId="297" applyFont="1" applyAlignment="1"/>
    <xf numFmtId="0" fontId="48" fillId="0" borderId="0" xfId="297" applyFont="1"/>
    <xf numFmtId="0" fontId="100" fillId="0" borderId="0" xfId="315" applyFont="1"/>
    <xf numFmtId="0" fontId="101" fillId="0" borderId="0" xfId="315" applyFont="1" applyAlignment="1">
      <alignment horizontal="justify" vertical="top"/>
    </xf>
    <xf numFmtId="0" fontId="101" fillId="0" borderId="0" xfId="315" applyFont="1" applyAlignment="1">
      <alignment horizontal="center" vertical="top"/>
    </xf>
    <xf numFmtId="0" fontId="101" fillId="0" borderId="0" xfId="315" applyFont="1"/>
    <xf numFmtId="0" fontId="47" fillId="0" borderId="0" xfId="297" applyFont="1" applyFill="1" applyAlignment="1">
      <alignment wrapText="1"/>
    </xf>
    <xf numFmtId="0" fontId="57" fillId="0" borderId="0" xfId="297" applyFont="1" applyAlignment="1"/>
    <xf numFmtId="0" fontId="47" fillId="0" borderId="0" xfId="297" applyFont="1"/>
    <xf numFmtId="0" fontId="48" fillId="0" borderId="0" xfId="297" applyFont="1" applyAlignment="1">
      <alignment horizontal="justify" vertical="top"/>
    </xf>
    <xf numFmtId="0" fontId="47" fillId="0" borderId="0" xfId="297" applyFont="1" applyAlignment="1">
      <alignment horizontal="justify" vertical="top"/>
    </xf>
    <xf numFmtId="0" fontId="60" fillId="0" borderId="0" xfId="297" applyFont="1" applyAlignment="1"/>
    <xf numFmtId="0" fontId="55" fillId="0" borderId="0" xfId="297" applyFont="1" applyAlignment="1">
      <alignment horizontal="justify" vertical="top"/>
    </xf>
    <xf numFmtId="2" fontId="54" fillId="0" borderId="0" xfId="289" applyNumberFormat="1" applyFont="1" applyAlignment="1">
      <alignment vertical="top" wrapText="1"/>
    </xf>
    <xf numFmtId="0" fontId="54" fillId="0" borderId="0" xfId="297" applyFont="1" applyBorder="1" applyAlignment="1">
      <alignment horizontal="justify" vertical="top"/>
    </xf>
    <xf numFmtId="1" fontId="54" fillId="0" borderId="0" xfId="297" applyNumberFormat="1" applyFont="1" applyAlignment="1">
      <alignment horizontal="center" vertical="top"/>
    </xf>
    <xf numFmtId="0" fontId="48" fillId="0" borderId="0" xfId="297" applyFont="1" applyAlignment="1">
      <alignment vertical="top"/>
    </xf>
    <xf numFmtId="1" fontId="48" fillId="0" borderId="0" xfId="297" applyNumberFormat="1" applyFont="1" applyAlignment="1">
      <alignment vertical="top"/>
    </xf>
    <xf numFmtId="0" fontId="54" fillId="0" borderId="10" xfId="297" applyFont="1" applyBorder="1" applyAlignment="1">
      <alignment horizontal="justify" vertical="top"/>
    </xf>
    <xf numFmtId="1" fontId="54" fillId="0" borderId="10" xfId="297" applyNumberFormat="1" applyFont="1" applyBorder="1" applyAlignment="1">
      <alignment horizontal="center" vertical="top"/>
    </xf>
    <xf numFmtId="1" fontId="55" fillId="0" borderId="0" xfId="297" applyNumberFormat="1" applyFont="1" applyAlignment="1">
      <alignment horizontal="right" vertical="top"/>
    </xf>
    <xf numFmtId="0" fontId="54" fillId="0" borderId="0" xfId="297" applyFont="1" applyAlignment="1">
      <alignment vertical="top"/>
    </xf>
    <xf numFmtId="0" fontId="47" fillId="0" borderId="0" xfId="297" applyFont="1" applyAlignment="1">
      <alignment vertical="top"/>
    </xf>
    <xf numFmtId="1" fontId="48" fillId="0" borderId="0" xfId="297" applyNumberFormat="1" applyFont="1" applyAlignment="1">
      <alignment horizontal="right" vertical="top"/>
    </xf>
    <xf numFmtId="0" fontId="48" fillId="0" borderId="0" xfId="297" applyFont="1" applyBorder="1"/>
    <xf numFmtId="0" fontId="48" fillId="0" borderId="0" xfId="297" applyFont="1" applyBorder="1" applyAlignment="1">
      <alignment horizontal="justify" vertical="top"/>
    </xf>
    <xf numFmtId="1" fontId="47" fillId="0" borderId="0" xfId="297" applyNumberFormat="1" applyFont="1" applyBorder="1" applyAlignment="1">
      <alignment horizontal="right" vertical="top" wrapText="1"/>
    </xf>
    <xf numFmtId="0" fontId="101" fillId="0" borderId="0" xfId="315" applyFont="1" applyBorder="1"/>
    <xf numFmtId="1" fontId="48" fillId="0" borderId="0" xfId="297" applyNumberFormat="1" applyFont="1" applyBorder="1" applyAlignment="1">
      <alignment vertical="justify"/>
    </xf>
    <xf numFmtId="2" fontId="48" fillId="0" borderId="0" xfId="297" applyNumberFormat="1" applyFont="1" applyBorder="1" applyAlignment="1">
      <alignment horizontal="left" vertical="justify"/>
    </xf>
    <xf numFmtId="0" fontId="48" fillId="0" borderId="0" xfId="297" applyFont="1" applyBorder="1" applyAlignment="1">
      <alignment horizontal="right" vertical="top"/>
    </xf>
    <xf numFmtId="2" fontId="48" fillId="0" borderId="0" xfId="297" applyNumberFormat="1" applyFont="1" applyBorder="1" applyAlignment="1">
      <alignment horizontal="justify" vertical="top"/>
    </xf>
    <xf numFmtId="0" fontId="61" fillId="0" borderId="0" xfId="292" applyFont="1" applyFill="1" applyAlignment="1">
      <alignment wrapText="1"/>
    </xf>
    <xf numFmtId="0" fontId="49" fillId="0" borderId="0" xfId="292" applyFont="1" applyFill="1" applyAlignment="1">
      <alignment horizontal="center" vertical="top" wrapText="1"/>
    </xf>
    <xf numFmtId="0" fontId="47" fillId="0" borderId="0" xfId="292" applyFont="1" applyFill="1" applyAlignment="1">
      <alignment horizontal="justify" vertical="top" wrapText="1"/>
    </xf>
    <xf numFmtId="0" fontId="63" fillId="0" borderId="0" xfId="292" applyFont="1" applyFill="1" applyAlignment="1">
      <alignment wrapText="1"/>
    </xf>
    <xf numFmtId="0" fontId="64" fillId="0" borderId="0" xfId="292" applyFont="1" applyFill="1" applyAlignment="1">
      <alignment wrapText="1"/>
    </xf>
    <xf numFmtId="0" fontId="65" fillId="0" borderId="0" xfId="292" applyFont="1" applyFill="1" applyAlignment="1">
      <alignment wrapText="1"/>
    </xf>
    <xf numFmtId="0" fontId="63" fillId="0" borderId="0" xfId="292" applyFont="1" applyFill="1" applyAlignment="1">
      <alignment horizontal="center" vertical="top" wrapText="1"/>
    </xf>
    <xf numFmtId="0" fontId="102" fillId="0" borderId="0" xfId="292" applyFont="1" applyFill="1" applyAlignment="1">
      <alignment horizontal="justify" vertical="top" wrapText="1"/>
    </xf>
    <xf numFmtId="0" fontId="64" fillId="0" borderId="0" xfId="292" applyFont="1" applyFill="1" applyAlignment="1">
      <alignment horizontal="center" vertical="top" wrapText="1"/>
    </xf>
    <xf numFmtId="0" fontId="49" fillId="0" borderId="93" xfId="292" applyFont="1" applyFill="1" applyBorder="1" applyAlignment="1">
      <alignment horizontal="center" vertical="top" wrapText="1"/>
    </xf>
    <xf numFmtId="2" fontId="103" fillId="0" borderId="94" xfId="304" applyNumberFormat="1" applyFont="1" applyFill="1" applyBorder="1" applyAlignment="1">
      <alignment horizontal="center" vertical="top" wrapText="1"/>
    </xf>
    <xf numFmtId="0" fontId="49" fillId="0" borderId="94" xfId="292" applyFont="1" applyFill="1" applyBorder="1" applyAlignment="1">
      <alignment horizontal="center" vertical="top" wrapText="1"/>
    </xf>
    <xf numFmtId="0" fontId="104" fillId="0" borderId="94" xfId="292" applyFont="1" applyFill="1" applyBorder="1" applyAlignment="1">
      <alignment horizontal="justify" vertical="top" wrapText="1"/>
    </xf>
    <xf numFmtId="0" fontId="61" fillId="0" borderId="94" xfId="292" applyFont="1" applyFill="1" applyBorder="1" applyAlignment="1">
      <alignment horizontal="center" vertical="top" wrapText="1"/>
    </xf>
    <xf numFmtId="0" fontId="54" fillId="0" borderId="95" xfId="292" applyFont="1" applyFill="1" applyBorder="1" applyAlignment="1">
      <alignment horizontal="center" vertical="top" wrapText="1"/>
    </xf>
    <xf numFmtId="2" fontId="99" fillId="0" borderId="91" xfId="304" applyNumberFormat="1" applyFont="1" applyFill="1" applyBorder="1" applyAlignment="1">
      <alignment horizontal="center" vertical="top" wrapText="1"/>
    </xf>
    <xf numFmtId="0" fontId="55" fillId="0" borderId="91" xfId="293" applyFont="1" applyFill="1" applyBorder="1" applyAlignment="1">
      <alignment vertical="top" wrapText="1"/>
    </xf>
    <xf numFmtId="2" fontId="97" fillId="0" borderId="91" xfId="304" applyNumberFormat="1" applyFont="1" applyFill="1" applyBorder="1" applyAlignment="1">
      <alignment horizontal="center" vertical="top" wrapText="1"/>
    </xf>
    <xf numFmtId="1" fontId="54" fillId="0" borderId="92" xfId="292" applyNumberFormat="1" applyFont="1" applyFill="1" applyBorder="1" applyAlignment="1">
      <alignment horizontal="center" vertical="top" wrapText="1"/>
    </xf>
    <xf numFmtId="0" fontId="61" fillId="0" borderId="0" xfId="292" applyFont="1" applyFill="1" applyAlignment="1">
      <alignment vertical="top" wrapText="1"/>
    </xf>
    <xf numFmtId="2" fontId="55" fillId="0" borderId="91" xfId="293" applyNumberFormat="1" applyFont="1" applyFill="1" applyBorder="1" applyAlignment="1">
      <alignment horizontal="left" vertical="top" wrapText="1"/>
    </xf>
    <xf numFmtId="0" fontId="54" fillId="0" borderId="0" xfId="292" applyFont="1" applyFill="1" applyBorder="1" applyAlignment="1">
      <alignment horizontal="center" vertical="top" wrapText="1"/>
    </xf>
    <xf numFmtId="2" fontId="99" fillId="0" borderId="0" xfId="304" applyNumberFormat="1" applyFont="1" applyFill="1" applyBorder="1" applyAlignment="1">
      <alignment horizontal="center" vertical="top" wrapText="1"/>
    </xf>
    <xf numFmtId="1" fontId="54" fillId="0" borderId="0" xfId="296" applyNumberFormat="1" applyFont="1" applyFill="1" applyBorder="1" applyAlignment="1">
      <alignment horizontal="center" vertical="top" wrapText="1"/>
    </xf>
    <xf numFmtId="0" fontId="54" fillId="0" borderId="0" xfId="292" applyFont="1" applyFill="1" applyBorder="1" applyAlignment="1">
      <alignment vertical="top"/>
    </xf>
    <xf numFmtId="0" fontId="54" fillId="0" borderId="0" xfId="292" applyFont="1" applyFill="1" applyAlignment="1">
      <alignment vertical="top" wrapText="1"/>
    </xf>
    <xf numFmtId="0" fontId="49" fillId="0" borderId="0" xfId="292" applyFont="1" applyFill="1" applyBorder="1" applyAlignment="1">
      <alignment horizontal="center" vertical="top" wrapText="1"/>
    </xf>
    <xf numFmtId="1" fontId="49" fillId="0" borderId="0" xfId="292" applyNumberFormat="1" applyFont="1" applyFill="1" applyBorder="1" applyAlignment="1">
      <alignment horizontal="left" vertical="top" wrapText="1"/>
    </xf>
    <xf numFmtId="1" fontId="105" fillId="0" borderId="0" xfId="292" applyNumberFormat="1" applyFont="1" applyFill="1" applyBorder="1" applyAlignment="1">
      <alignment horizontal="justify" vertical="top" wrapText="1"/>
    </xf>
    <xf numFmtId="1" fontId="49" fillId="0" borderId="0" xfId="292" applyNumberFormat="1" applyFont="1" applyFill="1" applyBorder="1" applyAlignment="1">
      <alignment horizontal="center" vertical="top" wrapText="1"/>
    </xf>
    <xf numFmtId="0" fontId="104" fillId="0" borderId="0" xfId="292" applyFont="1" applyFill="1" applyAlignment="1">
      <alignment horizontal="justify" vertical="top" wrapText="1"/>
    </xf>
    <xf numFmtId="0" fontId="61" fillId="0" borderId="0" xfId="292" applyFont="1" applyFill="1" applyAlignment="1">
      <alignment horizontal="center" vertical="top" wrapText="1"/>
    </xf>
    <xf numFmtId="1" fontId="61" fillId="0" borderId="0" xfId="292" applyNumberFormat="1" applyFont="1" applyFill="1" applyAlignment="1">
      <alignment horizontal="center" vertical="top" wrapText="1"/>
    </xf>
    <xf numFmtId="2" fontId="31" fillId="0" borderId="18" xfId="283" applyNumberFormat="1" applyFont="1" applyFill="1" applyBorder="1" applyAlignment="1">
      <alignment horizontal="left" vertical="top"/>
    </xf>
    <xf numFmtId="0" fontId="68" fillId="0" borderId="0" xfId="283" applyNumberFormat="1" applyFont="1"/>
    <xf numFmtId="0" fontId="31" fillId="0" borderId="0" xfId="283" applyFont="1" applyFill="1" applyAlignment="1">
      <alignment horizontal="center" vertical="center"/>
    </xf>
    <xf numFmtId="0" fontId="94" fillId="0" borderId="0" xfId="283" applyFont="1" applyFill="1" applyAlignment="1">
      <alignment horizontal="center" vertical="center"/>
    </xf>
    <xf numFmtId="0" fontId="94" fillId="0" borderId="37" xfId="283" applyFont="1" applyFill="1" applyBorder="1" applyAlignment="1">
      <alignment horizontal="center" vertical="center" wrapText="1"/>
    </xf>
    <xf numFmtId="0" fontId="54" fillId="0" borderId="95" xfId="292" applyFont="1" applyFill="1" applyBorder="1" applyAlignment="1">
      <alignment horizontal="left" vertical="top" wrapText="1"/>
    </xf>
    <xf numFmtId="0" fontId="54" fillId="0" borderId="84" xfId="292" applyFont="1" applyFill="1" applyBorder="1" applyAlignment="1">
      <alignment horizontal="left" vertical="top" wrapText="1"/>
    </xf>
    <xf numFmtId="2" fontId="54" fillId="0" borderId="95" xfId="292" applyNumberFormat="1" applyFont="1" applyFill="1" applyBorder="1" applyAlignment="1">
      <alignment horizontal="center" vertical="top" wrapText="1"/>
    </xf>
    <xf numFmtId="1" fontId="54" fillId="0" borderId="95" xfId="292" applyNumberFormat="1" applyFont="1" applyFill="1" applyBorder="1" applyAlignment="1">
      <alignment horizontal="center" vertical="top" wrapText="1"/>
    </xf>
    <xf numFmtId="0" fontId="49" fillId="0" borderId="0" xfId="292" applyFont="1" applyFill="1" applyAlignment="1">
      <alignment horizontal="left" vertical="top" wrapText="1"/>
    </xf>
    <xf numFmtId="0" fontId="64" fillId="0" borderId="0" xfId="292" applyFont="1" applyFill="1" applyAlignment="1">
      <alignment horizontal="left" wrapText="1"/>
    </xf>
    <xf numFmtId="0" fontId="61" fillId="0" borderId="0" xfId="292" applyFont="1" applyFill="1" applyAlignment="1">
      <alignment horizontal="left" vertical="top" wrapText="1"/>
    </xf>
    <xf numFmtId="0" fontId="64" fillId="0" borderId="0" xfId="292" applyFont="1" applyFill="1" applyAlignment="1">
      <alignment horizontal="left" vertical="top" wrapText="1"/>
    </xf>
    <xf numFmtId="2" fontId="54" fillId="0" borderId="94" xfId="292" applyNumberFormat="1" applyFont="1" applyFill="1" applyBorder="1" applyAlignment="1">
      <alignment horizontal="left" vertical="top" wrapText="1"/>
    </xf>
    <xf numFmtId="2" fontId="54" fillId="0" borderId="95" xfId="292" applyNumberFormat="1" applyFont="1" applyFill="1" applyBorder="1" applyAlignment="1">
      <alignment horizontal="left" vertical="top" wrapText="1"/>
    </xf>
    <xf numFmtId="1" fontId="54" fillId="0" borderId="95" xfId="292" applyNumberFormat="1" applyFont="1" applyFill="1" applyBorder="1" applyAlignment="1">
      <alignment horizontal="left" vertical="top" wrapText="1"/>
    </xf>
    <xf numFmtId="0" fontId="54" fillId="0" borderId="0" xfId="292" applyFont="1" applyFill="1" applyBorder="1" applyAlignment="1">
      <alignment horizontal="left" vertical="top"/>
    </xf>
    <xf numFmtId="1" fontId="54" fillId="0" borderId="92" xfId="292" applyNumberFormat="1" applyFont="1" applyFill="1" applyBorder="1" applyAlignment="1">
      <alignment horizontal="right" vertical="top" wrapText="1"/>
    </xf>
    <xf numFmtId="0" fontId="61" fillId="0" borderId="0" xfId="292" applyFont="1" applyFill="1" applyAlignment="1">
      <alignment horizontal="center" wrapText="1"/>
    </xf>
    <xf numFmtId="0" fontId="106" fillId="0" borderId="18" xfId="304" applyFont="1" applyFill="1" applyBorder="1" applyAlignment="1">
      <alignment horizontal="center" vertical="center" wrapText="1"/>
    </xf>
    <xf numFmtId="0" fontId="106" fillId="0" borderId="38" xfId="304" applyFont="1" applyFill="1" applyBorder="1" applyAlignment="1">
      <alignment horizontal="center" vertical="center" wrapText="1"/>
    </xf>
    <xf numFmtId="0" fontId="107" fillId="0" borderId="0" xfId="304" applyFont="1" applyFill="1" applyAlignment="1">
      <alignment horizontal="center" vertical="center" wrapText="1"/>
    </xf>
    <xf numFmtId="0" fontId="61" fillId="0" borderId="0" xfId="292" applyFont="1" applyFill="1" applyAlignment="1">
      <alignment horizontal="center" vertical="center" wrapText="1"/>
    </xf>
    <xf numFmtId="0" fontId="107" fillId="0" borderId="0" xfId="304" applyFont="1" applyFill="1" applyAlignment="1">
      <alignment horizontal="center" vertical="top" wrapText="1"/>
    </xf>
    <xf numFmtId="0" fontId="99" fillId="0" borderId="14" xfId="304" applyFont="1" applyFill="1" applyBorder="1" applyAlignment="1">
      <alignment horizontal="center" vertical="top" wrapText="1"/>
    </xf>
    <xf numFmtId="0" fontId="54" fillId="0" borderId="96" xfId="292" applyFont="1" applyFill="1" applyBorder="1" applyAlignment="1">
      <alignment horizontal="center" vertical="top" wrapText="1"/>
    </xf>
    <xf numFmtId="2" fontId="99" fillId="0" borderId="97" xfId="304" applyNumberFormat="1" applyFont="1" applyFill="1" applyBorder="1" applyAlignment="1">
      <alignment horizontal="center" vertical="top" wrapText="1"/>
    </xf>
    <xf numFmtId="0" fontId="54" fillId="0" borderId="98" xfId="292" applyFont="1" applyFill="1" applyBorder="1" applyAlignment="1">
      <alignment horizontal="left" vertical="top" wrapText="1"/>
    </xf>
    <xf numFmtId="0" fontId="55" fillId="0" borderId="97" xfId="293" applyFont="1" applyFill="1" applyBorder="1" applyAlignment="1">
      <alignment vertical="top" wrapText="1"/>
    </xf>
    <xf numFmtId="2" fontId="97" fillId="0" borderId="97" xfId="304" applyNumberFormat="1" applyFont="1" applyFill="1" applyBorder="1" applyAlignment="1">
      <alignment horizontal="center" vertical="top" wrapText="1"/>
    </xf>
    <xf numFmtId="0" fontId="54" fillId="0" borderId="99" xfId="292" applyFont="1" applyFill="1" applyBorder="1" applyAlignment="1">
      <alignment horizontal="center" vertical="top" wrapText="1"/>
    </xf>
    <xf numFmtId="2" fontId="99" fillId="0" borderId="100" xfId="304" applyNumberFormat="1" applyFont="1" applyFill="1" applyBorder="1" applyAlignment="1">
      <alignment horizontal="center" vertical="top" wrapText="1"/>
    </xf>
    <xf numFmtId="0" fontId="54" fillId="0" borderId="99" xfId="292" applyFont="1" applyFill="1" applyBorder="1" applyAlignment="1">
      <alignment horizontal="left" vertical="top" wrapText="1"/>
    </xf>
    <xf numFmtId="0" fontId="55" fillId="0" borderId="100" xfId="293" applyFont="1" applyFill="1" applyBorder="1" applyAlignment="1">
      <alignment vertical="top" wrapText="1"/>
    </xf>
    <xf numFmtId="2" fontId="97" fillId="0" borderId="100" xfId="304" applyNumberFormat="1" applyFont="1" applyFill="1" applyBorder="1" applyAlignment="1">
      <alignment horizontal="center" vertical="top" wrapText="1"/>
    </xf>
    <xf numFmtId="0" fontId="49" fillId="0" borderId="101" xfId="292" applyFont="1" applyFill="1" applyBorder="1" applyAlignment="1">
      <alignment horizontal="right" vertical="top" wrapText="1"/>
    </xf>
    <xf numFmtId="1" fontId="54" fillId="0" borderId="102" xfId="292" applyNumberFormat="1" applyFont="1" applyFill="1" applyBorder="1" applyAlignment="1">
      <alignment horizontal="right" vertical="top" wrapText="1"/>
    </xf>
    <xf numFmtId="1" fontId="54" fillId="0" borderId="103" xfId="292" applyNumberFormat="1" applyFont="1" applyFill="1" applyBorder="1" applyAlignment="1">
      <alignment horizontal="right" vertical="top" wrapText="1"/>
    </xf>
    <xf numFmtId="0" fontId="90" fillId="0" borderId="39" xfId="283" applyFont="1" applyFill="1" applyBorder="1" applyAlignment="1">
      <alignment horizontal="center" vertical="top" wrapText="1"/>
    </xf>
    <xf numFmtId="0" fontId="31" fillId="0" borderId="14" xfId="283" applyFill="1" applyBorder="1" applyAlignment="1">
      <alignment horizontal="center"/>
    </xf>
    <xf numFmtId="1" fontId="54" fillId="0" borderId="84" xfId="292" applyNumberFormat="1" applyFont="1" applyFill="1" applyBorder="1" applyAlignment="1">
      <alignment horizontal="left" vertical="top" wrapText="1"/>
    </xf>
    <xf numFmtId="1" fontId="54" fillId="0" borderId="92" xfId="292" applyNumberFormat="1" applyFont="1" applyFill="1" applyBorder="1" applyAlignment="1">
      <alignment vertical="top" wrapText="1"/>
    </xf>
    <xf numFmtId="1" fontId="54" fillId="0" borderId="102" xfId="292" applyNumberFormat="1" applyFont="1" applyFill="1" applyBorder="1" applyAlignment="1">
      <alignment vertical="top" wrapText="1"/>
    </xf>
    <xf numFmtId="1" fontId="54" fillId="0" borderId="103" xfId="292" applyNumberFormat="1" applyFont="1" applyFill="1" applyBorder="1" applyAlignment="1">
      <alignment vertical="top" wrapText="1"/>
    </xf>
    <xf numFmtId="2" fontId="52" fillId="0" borderId="91" xfId="293" applyNumberFormat="1" applyFont="1" applyFill="1" applyBorder="1" applyAlignment="1">
      <alignment horizontal="left" vertical="top" wrapText="1"/>
    </xf>
    <xf numFmtId="0" fontId="55" fillId="0" borderId="100" xfId="323" applyFont="1" applyFill="1" applyBorder="1" applyAlignment="1">
      <alignment horizontal="left" vertical="top" wrapText="1"/>
    </xf>
    <xf numFmtId="0" fontId="55" fillId="0" borderId="100" xfId="323" applyFont="1" applyFill="1" applyBorder="1" applyAlignment="1">
      <alignment vertical="top" wrapText="1"/>
    </xf>
    <xf numFmtId="0" fontId="54" fillId="0" borderId="104" xfId="323" applyFont="1" applyFill="1" applyBorder="1" applyAlignment="1">
      <alignment horizontal="right" vertical="top" wrapText="1"/>
    </xf>
    <xf numFmtId="1" fontId="54" fillId="0" borderId="40" xfId="293" applyNumberFormat="1" applyFont="1" applyFill="1" applyBorder="1" applyAlignment="1">
      <alignment horizontal="right" vertical="top" wrapText="1"/>
    </xf>
    <xf numFmtId="0" fontId="54" fillId="0" borderId="41" xfId="292" applyFont="1" applyFill="1" applyBorder="1" applyAlignment="1">
      <alignment horizontal="center" vertical="top" wrapText="1"/>
    </xf>
    <xf numFmtId="2" fontId="99" fillId="0" borderId="41" xfId="304" applyNumberFormat="1" applyFont="1" applyFill="1" applyBorder="1" applyAlignment="1">
      <alignment horizontal="center" vertical="top" wrapText="1"/>
    </xf>
    <xf numFmtId="0" fontId="55" fillId="0" borderId="41" xfId="292" applyFont="1" applyFill="1" applyBorder="1" applyAlignment="1">
      <alignment horizontal="left" wrapText="1"/>
    </xf>
    <xf numFmtId="1" fontId="54" fillId="0" borderId="42" xfId="296" applyNumberFormat="1" applyFont="1" applyFill="1" applyBorder="1" applyAlignment="1">
      <alignment horizontal="right" vertical="top" wrapText="1"/>
    </xf>
    <xf numFmtId="1" fontId="54" fillId="78" borderId="0" xfId="296" applyNumberFormat="1" applyFont="1" applyFill="1" applyBorder="1" applyAlignment="1">
      <alignment horizontal="left" vertical="top"/>
    </xf>
    <xf numFmtId="0" fontId="13" fillId="0" borderId="0" xfId="0" applyFont="1" applyFill="1"/>
    <xf numFmtId="0" fontId="13" fillId="0" borderId="0" xfId="0" applyFont="1" applyFill="1" applyAlignment="1">
      <alignment horizontal="center"/>
    </xf>
    <xf numFmtId="0" fontId="4" fillId="0" borderId="15" xfId="304" applyFont="1" applyBorder="1" applyAlignment="1">
      <alignment horizontal="center"/>
    </xf>
    <xf numFmtId="0" fontId="4" fillId="0" borderId="35" xfId="304" applyFont="1" applyBorder="1" applyAlignment="1">
      <alignment horizontal="left"/>
    </xf>
    <xf numFmtId="0" fontId="4" fillId="0" borderId="14" xfId="304" applyFont="1" applyBorder="1" applyAlignment="1">
      <alignment horizontal="center"/>
    </xf>
    <xf numFmtId="0" fontId="4" fillId="0" borderId="14" xfId="304" applyFont="1" applyBorder="1" applyAlignment="1">
      <alignment horizontal="center" vertical="center"/>
    </xf>
    <xf numFmtId="2" fontId="4" fillId="0" borderId="14" xfId="304" applyNumberFormat="1" applyFont="1" applyBorder="1" applyAlignment="1">
      <alignment vertical="center"/>
    </xf>
    <xf numFmtId="2" fontId="4" fillId="0" borderId="0" xfId="304" applyNumberFormat="1" applyFont="1" applyBorder="1" applyAlignment="1">
      <alignment horizontal="center" vertical="center"/>
    </xf>
    <xf numFmtId="2" fontId="4" fillId="0" borderId="0" xfId="304" applyNumberFormat="1" applyFont="1" applyBorder="1" applyAlignment="1">
      <alignment horizontal="right"/>
    </xf>
    <xf numFmtId="2" fontId="4" fillId="0" borderId="0" xfId="304" applyNumberFormat="1" applyFont="1" applyBorder="1" applyAlignment="1">
      <alignment horizontal="center"/>
    </xf>
    <xf numFmtId="0" fontId="4" fillId="0" borderId="0" xfId="304" applyFont="1" applyBorder="1" applyAlignment="1">
      <alignment horizontal="center" vertical="center"/>
    </xf>
    <xf numFmtId="0" fontId="8" fillId="0" borderId="0" xfId="304" applyFont="1"/>
    <xf numFmtId="0" fontId="4" fillId="0" borderId="0" xfId="304" applyFont="1" applyAlignment="1">
      <alignment horizontal="center"/>
    </xf>
    <xf numFmtId="0" fontId="8" fillId="0" borderId="0" xfId="304" applyFont="1" applyAlignment="1">
      <alignment vertical="top"/>
    </xf>
    <xf numFmtId="0" fontId="8" fillId="0" borderId="0" xfId="304" applyFont="1" applyBorder="1" applyAlignment="1">
      <alignment horizontal="left"/>
    </xf>
    <xf numFmtId="2" fontId="4" fillId="0" borderId="0" xfId="304" applyNumberFormat="1" applyFont="1" applyAlignment="1"/>
    <xf numFmtId="2" fontId="4" fillId="0" borderId="0" xfId="304" applyNumberFormat="1" applyFont="1" applyAlignment="1">
      <alignment horizontal="center"/>
    </xf>
    <xf numFmtId="2" fontId="4" fillId="0" borderId="0" xfId="304" applyNumberFormat="1" applyFont="1" applyAlignment="1">
      <alignment horizontal="right"/>
    </xf>
    <xf numFmtId="0" fontId="4" fillId="0" borderId="0" xfId="304" applyFont="1" applyAlignment="1"/>
    <xf numFmtId="0" fontId="13" fillId="0" borderId="0" xfId="0" applyFont="1"/>
    <xf numFmtId="0" fontId="4" fillId="0" borderId="0" xfId="304" applyFont="1" applyAlignment="1">
      <alignment horizontal="left"/>
    </xf>
    <xf numFmtId="0" fontId="8" fillId="0" borderId="43" xfId="304" applyFont="1" applyBorder="1" applyAlignment="1">
      <alignment horizontal="center"/>
    </xf>
    <xf numFmtId="0" fontId="8" fillId="0" borderId="44" xfId="304" applyFont="1" applyBorder="1" applyAlignment="1">
      <alignment horizontal="center"/>
    </xf>
    <xf numFmtId="2" fontId="8" fillId="0" borderId="45" xfId="304" applyNumberFormat="1" applyFont="1" applyBorder="1" applyAlignment="1">
      <alignment horizontal="right"/>
    </xf>
    <xf numFmtId="1" fontId="4" fillId="0" borderId="0" xfId="304" applyNumberFormat="1" applyFont="1" applyAlignment="1">
      <alignment horizontal="right"/>
    </xf>
    <xf numFmtId="0" fontId="8" fillId="0" borderId="0" xfId="304" applyFont="1" applyAlignment="1">
      <alignment horizontal="center"/>
    </xf>
    <xf numFmtId="0" fontId="8" fillId="0" borderId="46" xfId="304" applyFont="1" applyBorder="1" applyAlignment="1">
      <alignment horizontal="center" vertical="center" wrapText="1"/>
    </xf>
    <xf numFmtId="2" fontId="8" fillId="0" borderId="47" xfId="304" applyNumberFormat="1" applyFont="1" applyBorder="1" applyAlignment="1">
      <alignment horizontal="center" vertical="center" wrapText="1"/>
    </xf>
    <xf numFmtId="1" fontId="8" fillId="0" borderId="46" xfId="0" applyNumberFormat="1" applyFont="1" applyFill="1" applyBorder="1" applyAlignment="1">
      <alignment horizontal="center" vertical="center"/>
    </xf>
    <xf numFmtId="1" fontId="8" fillId="0" borderId="47" xfId="0" applyNumberFormat="1" applyFont="1" applyFill="1" applyBorder="1" applyAlignment="1">
      <alignment horizontal="center" vertical="center"/>
    </xf>
    <xf numFmtId="2" fontId="8" fillId="0" borderId="48" xfId="0" applyNumberFormat="1" applyFont="1" applyFill="1" applyBorder="1" applyAlignment="1">
      <alignment horizontal="center" vertical="center" wrapText="1"/>
    </xf>
    <xf numFmtId="2" fontId="4" fillId="0" borderId="0" xfId="304" applyNumberFormat="1" applyFont="1"/>
    <xf numFmtId="0" fontId="4" fillId="0" borderId="23" xfId="304" applyFont="1" applyBorder="1" applyAlignment="1">
      <alignment horizontal="center"/>
    </xf>
    <xf numFmtId="2" fontId="8" fillId="0" borderId="36" xfId="304" applyNumberFormat="1" applyFont="1" applyBorder="1" applyAlignment="1">
      <alignment wrapText="1"/>
    </xf>
    <xf numFmtId="2" fontId="8" fillId="0" borderId="49" xfId="0" applyNumberFormat="1" applyFont="1" applyFill="1" applyBorder="1" applyAlignment="1">
      <alignment horizontal="right"/>
    </xf>
    <xf numFmtId="2" fontId="8" fillId="0" borderId="36" xfId="304" applyNumberFormat="1" applyFont="1" applyBorder="1" applyAlignment="1">
      <alignment horizontal="center" vertical="top" wrapText="1"/>
    </xf>
    <xf numFmtId="2" fontId="8" fillId="0" borderId="50" xfId="304" applyNumberFormat="1" applyFont="1" applyBorder="1" applyAlignment="1">
      <alignment horizontal="center" vertical="center"/>
    </xf>
    <xf numFmtId="0" fontId="4" fillId="0" borderId="24" xfId="304" applyFont="1" applyBorder="1" applyAlignment="1">
      <alignment horizontal="center"/>
    </xf>
    <xf numFmtId="0" fontId="4" fillId="0" borderId="51" xfId="304" applyFont="1" applyBorder="1" applyAlignment="1">
      <alignment horizontal="center"/>
    </xf>
    <xf numFmtId="0" fontId="4" fillId="0" borderId="32" xfId="304" applyFont="1" applyBorder="1" applyAlignment="1">
      <alignment horizontal="center"/>
    </xf>
    <xf numFmtId="0" fontId="4" fillId="0" borderId="51" xfId="304" applyFont="1" applyBorder="1" applyAlignment="1"/>
    <xf numFmtId="1" fontId="4" fillId="0" borderId="32" xfId="304" applyNumberFormat="1" applyFont="1" applyBorder="1" applyAlignment="1">
      <alignment horizontal="center"/>
    </xf>
    <xf numFmtId="1" fontId="4" fillId="0" borderId="51" xfId="304" applyNumberFormat="1" applyFont="1" applyBorder="1" applyAlignment="1">
      <alignment horizontal="center"/>
    </xf>
    <xf numFmtId="1" fontId="4" fillId="0" borderId="25" xfId="304" applyNumberFormat="1" applyFont="1" applyBorder="1" applyAlignment="1">
      <alignment horizontal="center"/>
    </xf>
    <xf numFmtId="0" fontId="13" fillId="0" borderId="17" xfId="304" applyFont="1" applyBorder="1" applyAlignment="1">
      <alignment horizontal="center"/>
    </xf>
    <xf numFmtId="0" fontId="13" fillId="0" borderId="17" xfId="304" applyFont="1" applyBorder="1" applyAlignment="1">
      <alignment horizontal="left"/>
    </xf>
    <xf numFmtId="0" fontId="70" fillId="0" borderId="17" xfId="304" applyFont="1" applyFill="1" applyBorder="1" applyAlignment="1">
      <alignment horizontal="center"/>
    </xf>
    <xf numFmtId="2" fontId="13" fillId="0" borderId="17" xfId="304" applyNumberFormat="1" applyFont="1" applyFill="1" applyBorder="1" applyAlignment="1">
      <alignment horizontal="center"/>
    </xf>
    <xf numFmtId="2" fontId="13" fillId="0" borderId="17" xfId="304" applyNumberFormat="1" applyFont="1" applyFill="1" applyBorder="1" applyAlignment="1"/>
    <xf numFmtId="2" fontId="13" fillId="0" borderId="17" xfId="304" applyNumberFormat="1" applyFont="1" applyFill="1" applyBorder="1" applyAlignment="1">
      <alignment horizontal="right"/>
    </xf>
    <xf numFmtId="2" fontId="13" fillId="0" borderId="17" xfId="304" applyNumberFormat="1" applyFont="1" applyBorder="1" applyAlignment="1">
      <alignment horizontal="right"/>
    </xf>
    <xf numFmtId="0" fontId="70" fillId="0" borderId="0" xfId="0" applyFont="1" applyFill="1" applyBorder="1" applyAlignment="1">
      <alignment horizontal="center"/>
    </xf>
    <xf numFmtId="2" fontId="13" fillId="0" borderId="0" xfId="0" applyNumberFormat="1" applyFont="1" applyBorder="1" applyAlignment="1">
      <alignment horizontal="right"/>
    </xf>
    <xf numFmtId="0" fontId="13" fillId="0" borderId="14" xfId="304" applyFont="1" applyBorder="1" applyAlignment="1">
      <alignment horizontal="center"/>
    </xf>
    <xf numFmtId="0" fontId="13" fillId="0" borderId="14" xfId="304" applyFont="1" applyBorder="1" applyAlignment="1">
      <alignment horizontal="left"/>
    </xf>
    <xf numFmtId="0" fontId="70" fillId="0" borderId="14" xfId="304" applyFont="1" applyFill="1" applyBorder="1" applyAlignment="1">
      <alignment horizontal="center"/>
    </xf>
    <xf numFmtId="2" fontId="13" fillId="0" borderId="14" xfId="304" applyNumberFormat="1" applyFont="1" applyFill="1" applyBorder="1" applyAlignment="1">
      <alignment horizontal="center"/>
    </xf>
    <xf numFmtId="2" fontId="13" fillId="0" borderId="14" xfId="304" applyNumberFormat="1" applyFont="1" applyFill="1" applyBorder="1" applyAlignment="1"/>
    <xf numFmtId="2" fontId="13" fillId="0" borderId="14" xfId="304" applyNumberFormat="1" applyFont="1" applyFill="1" applyBorder="1" applyAlignment="1">
      <alignment horizontal="right"/>
    </xf>
    <xf numFmtId="2" fontId="13" fillId="0" borderId="14" xfId="304" applyNumberFormat="1" applyFont="1" applyBorder="1" applyAlignment="1">
      <alignment horizontal="right"/>
    </xf>
    <xf numFmtId="0" fontId="13" fillId="0" borderId="14" xfId="304" applyFont="1" applyFill="1" applyBorder="1" applyAlignment="1">
      <alignment horizontal="center"/>
    </xf>
    <xf numFmtId="0" fontId="4" fillId="0" borderId="17" xfId="304" applyFont="1" applyBorder="1" applyAlignment="1">
      <alignment horizontal="center"/>
    </xf>
    <xf numFmtId="0" fontId="4" fillId="0" borderId="12" xfId="304" applyFont="1" applyBorder="1" applyAlignment="1">
      <alignment horizontal="left" shrinkToFit="1"/>
    </xf>
    <xf numFmtId="0" fontId="4" fillId="0" borderId="12" xfId="304" applyFont="1" applyBorder="1" applyAlignment="1">
      <alignment horizontal="center"/>
    </xf>
    <xf numFmtId="2" fontId="8" fillId="0" borderId="17" xfId="304" applyNumberFormat="1" applyFont="1" applyBorder="1" applyAlignment="1"/>
    <xf numFmtId="2" fontId="4" fillId="0" borderId="34" xfId="304" applyNumberFormat="1" applyFont="1" applyBorder="1" applyAlignment="1">
      <alignment horizontal="right"/>
    </xf>
    <xf numFmtId="2" fontId="4" fillId="0" borderId="11" xfId="304" applyNumberFormat="1" applyFont="1" applyBorder="1" applyAlignment="1">
      <alignment horizontal="right"/>
    </xf>
    <xf numFmtId="2" fontId="4" fillId="0" borderId="0" xfId="304" applyNumberFormat="1" applyFont="1" applyAlignment="1">
      <alignment horizontal="left"/>
    </xf>
    <xf numFmtId="49" fontId="4" fillId="0" borderId="0" xfId="304" applyNumberFormat="1" applyFont="1" applyAlignment="1">
      <alignment horizontal="center"/>
    </xf>
    <xf numFmtId="2" fontId="8" fillId="0" borderId="0" xfId="304" applyNumberFormat="1" applyFont="1" applyAlignment="1">
      <alignment horizontal="right"/>
    </xf>
    <xf numFmtId="2" fontId="4" fillId="0" borderId="0" xfId="304" applyNumberFormat="1" applyFont="1" applyFill="1" applyAlignment="1">
      <alignment horizontal="right"/>
    </xf>
    <xf numFmtId="165" fontId="4" fillId="0" borderId="0" xfId="304" applyNumberFormat="1" applyFont="1" applyAlignment="1">
      <alignment horizontal="right"/>
    </xf>
    <xf numFmtId="1" fontId="4" fillId="0" borderId="0" xfId="304" applyNumberFormat="1" applyFont="1" applyAlignment="1">
      <alignment horizontal="center"/>
    </xf>
    <xf numFmtId="1" fontId="4" fillId="0" borderId="0" xfId="304" applyNumberFormat="1" applyFont="1" applyFill="1" applyAlignment="1">
      <alignment horizontal="right"/>
    </xf>
    <xf numFmtId="2" fontId="4" fillId="0" borderId="0" xfId="304" applyNumberFormat="1" applyFont="1" applyFill="1" applyAlignment="1">
      <alignment horizontal="center"/>
    </xf>
    <xf numFmtId="0" fontId="8" fillId="0" borderId="0" xfId="304" applyFont="1" applyAlignment="1">
      <alignment horizontal="left"/>
    </xf>
    <xf numFmtId="2" fontId="8" fillId="0" borderId="0" xfId="304" applyNumberFormat="1" applyFont="1" applyAlignment="1"/>
    <xf numFmtId="2" fontId="8" fillId="0" borderId="0" xfId="304" applyNumberFormat="1" applyFont="1" applyAlignment="1">
      <alignment horizontal="center"/>
    </xf>
    <xf numFmtId="2" fontId="8" fillId="0" borderId="0" xfId="304" applyNumberFormat="1" applyFont="1" applyFill="1" applyAlignment="1">
      <alignment horizontal="right"/>
    </xf>
    <xf numFmtId="0" fontId="4" fillId="0" borderId="18" xfId="304" applyFont="1" applyBorder="1" applyAlignment="1">
      <alignment horizontal="center"/>
    </xf>
    <xf numFmtId="0" fontId="4" fillId="0" borderId="11" xfId="304" applyFont="1" applyBorder="1" applyAlignment="1">
      <alignment horizontal="left"/>
    </xf>
    <xf numFmtId="2" fontId="4" fillId="0" borderId="14" xfId="304" applyNumberFormat="1" applyFont="1" applyBorder="1" applyAlignment="1">
      <alignment horizontal="center"/>
    </xf>
    <xf numFmtId="2" fontId="4" fillId="0" borderId="14" xfId="304" applyNumberFormat="1" applyFont="1" applyBorder="1" applyAlignment="1"/>
    <xf numFmtId="0" fontId="8" fillId="0" borderId="0" xfId="304" applyFont="1" applyBorder="1"/>
    <xf numFmtId="0" fontId="4" fillId="0" borderId="0" xfId="304" applyFont="1" applyBorder="1" applyAlignment="1">
      <alignment horizontal="left"/>
    </xf>
    <xf numFmtId="0" fontId="4" fillId="0" borderId="34" xfId="304" applyFont="1" applyBorder="1" applyAlignment="1">
      <alignment horizontal="center"/>
    </xf>
    <xf numFmtId="0" fontId="4" fillId="0" borderId="12" xfId="304" applyFont="1" applyBorder="1" applyAlignment="1">
      <alignment horizontal="left"/>
    </xf>
    <xf numFmtId="0" fontId="8" fillId="0" borderId="14" xfId="304" applyFont="1" applyBorder="1" applyAlignment="1">
      <alignment horizontal="center"/>
    </xf>
    <xf numFmtId="2" fontId="8" fillId="0" borderId="14" xfId="304" applyNumberFormat="1" applyFont="1" applyBorder="1" applyAlignment="1"/>
    <xf numFmtId="0" fontId="4" fillId="0" borderId="0" xfId="0" applyFont="1" applyFill="1" applyBorder="1" applyAlignment="1">
      <alignment horizontal="left"/>
    </xf>
    <xf numFmtId="0" fontId="4" fillId="0" borderId="38" xfId="304" applyFont="1" applyBorder="1" applyAlignment="1">
      <alignment horizontal="left"/>
    </xf>
    <xf numFmtId="0" fontId="4" fillId="0" borderId="19" xfId="304" applyFont="1" applyBorder="1" applyAlignment="1">
      <alignment horizontal="left"/>
    </xf>
    <xf numFmtId="0" fontId="4" fillId="0" borderId="21" xfId="304" applyFont="1" applyBorder="1" applyAlignment="1">
      <alignment horizontal="left"/>
    </xf>
    <xf numFmtId="1" fontId="8" fillId="0" borderId="0" xfId="304" applyNumberFormat="1" applyFont="1" applyAlignment="1">
      <alignment horizontal="right"/>
    </xf>
    <xf numFmtId="2" fontId="8" fillId="0" borderId="0" xfId="304" applyNumberFormat="1" applyFont="1"/>
    <xf numFmtId="2" fontId="8" fillId="0" borderId="14" xfId="304" applyNumberFormat="1" applyFont="1" applyBorder="1" applyAlignment="1">
      <alignment horizontal="center"/>
    </xf>
    <xf numFmtId="2" fontId="8" fillId="0" borderId="14" xfId="304" applyNumberFormat="1" applyFont="1" applyBorder="1" applyAlignment="1">
      <alignment horizontal="right"/>
    </xf>
    <xf numFmtId="1" fontId="8" fillId="0" borderId="14" xfId="304" applyNumberFormat="1" applyFont="1" applyBorder="1" applyAlignment="1">
      <alignment horizontal="right"/>
    </xf>
    <xf numFmtId="2" fontId="8" fillId="0" borderId="14" xfId="304" applyNumberFormat="1" applyFont="1" applyBorder="1"/>
    <xf numFmtId="0" fontId="4" fillId="0" borderId="15" xfId="304" applyFont="1" applyBorder="1" applyAlignment="1">
      <alignment horizontal="left"/>
    </xf>
    <xf numFmtId="0" fontId="4" fillId="0" borderId="46" xfId="304" applyFont="1" applyBorder="1" applyAlignment="1">
      <alignment horizontal="center"/>
    </xf>
    <xf numFmtId="2" fontId="4" fillId="0" borderId="35" xfId="304" applyNumberFormat="1" applyFont="1" applyBorder="1" applyAlignment="1">
      <alignment horizontal="center"/>
    </xf>
    <xf numFmtId="2" fontId="4" fillId="0" borderId="22" xfId="304" applyNumberFormat="1" applyFont="1" applyBorder="1" applyAlignment="1">
      <alignment horizontal="center"/>
    </xf>
    <xf numFmtId="0" fontId="4" fillId="0" borderId="0" xfId="304" applyFont="1" applyBorder="1" applyAlignment="1">
      <alignment horizontal="center"/>
    </xf>
    <xf numFmtId="0" fontId="8" fillId="0" borderId="0" xfId="304" applyFont="1" applyBorder="1" applyAlignment="1">
      <alignment horizontal="center"/>
    </xf>
    <xf numFmtId="2" fontId="8" fillId="0" borderId="0" xfId="304" applyNumberFormat="1" applyFont="1" applyBorder="1" applyAlignment="1"/>
    <xf numFmtId="0" fontId="4" fillId="0" borderId="14" xfId="0" applyFont="1" applyFill="1" applyBorder="1" applyAlignment="1">
      <alignment horizontal="center"/>
    </xf>
    <xf numFmtId="49" fontId="4" fillId="0" borderId="14" xfId="0" applyNumberFormat="1" applyFont="1" applyFill="1" applyBorder="1" applyAlignment="1">
      <alignment horizontal="center"/>
    </xf>
    <xf numFmtId="10" fontId="4" fillId="0" borderId="14" xfId="0" applyNumberFormat="1" applyFont="1" applyFill="1" applyBorder="1" applyAlignment="1">
      <alignment horizontal="center"/>
    </xf>
    <xf numFmtId="10" fontId="4" fillId="0" borderId="28" xfId="0" applyNumberFormat="1" applyFont="1" applyFill="1" applyBorder="1" applyAlignment="1">
      <alignment horizontal="center"/>
    </xf>
    <xf numFmtId="0" fontId="4" fillId="0" borderId="28" xfId="0" applyFont="1" applyFill="1" applyBorder="1" applyAlignment="1">
      <alignment horizontal="center"/>
    </xf>
    <xf numFmtId="10" fontId="4" fillId="0" borderId="17" xfId="0" applyNumberFormat="1" applyFont="1" applyFill="1" applyBorder="1" applyAlignment="1">
      <alignment horizontal="center"/>
    </xf>
    <xf numFmtId="0" fontId="8" fillId="0" borderId="0" xfId="304" applyFont="1" applyAlignment="1"/>
    <xf numFmtId="0" fontId="8" fillId="0" borderId="0" xfId="304" applyFont="1" applyAlignment="1">
      <alignment vertical="center"/>
    </xf>
    <xf numFmtId="2" fontId="8" fillId="0" borderId="52" xfId="0" applyNumberFormat="1" applyFont="1" applyBorder="1" applyAlignment="1">
      <alignment horizontal="center" vertical="center" wrapText="1"/>
    </xf>
    <xf numFmtId="2" fontId="8" fillId="0" borderId="0" xfId="304" applyNumberFormat="1" applyFont="1" applyBorder="1" applyAlignment="1">
      <alignment horizontal="right" vertical="center"/>
    </xf>
    <xf numFmtId="164" fontId="8" fillId="0" borderId="36" xfId="304" applyNumberFormat="1" applyFont="1" applyBorder="1" applyAlignment="1">
      <alignment horizontal="center" vertical="center"/>
    </xf>
    <xf numFmtId="2" fontId="8" fillId="0" borderId="23" xfId="304" applyNumberFormat="1" applyFont="1" applyBorder="1" applyAlignment="1">
      <alignment horizontal="center" vertical="center"/>
    </xf>
    <xf numFmtId="1" fontId="8" fillId="0" borderId="36" xfId="304" applyNumberFormat="1" applyFont="1" applyBorder="1" applyAlignment="1">
      <alignment horizontal="center" vertical="center"/>
    </xf>
    <xf numFmtId="0" fontId="8" fillId="0" borderId="26" xfId="304" applyFont="1" applyBorder="1" applyAlignment="1">
      <alignment horizontal="center" vertical="center"/>
    </xf>
    <xf numFmtId="0" fontId="8" fillId="0" borderId="36" xfId="304" applyFont="1" applyBorder="1" applyAlignment="1">
      <alignment horizontal="center" vertical="center"/>
    </xf>
    <xf numFmtId="0" fontId="8" fillId="0" borderId="23" xfId="304" applyFont="1" applyBorder="1" applyAlignment="1">
      <alignment horizontal="center" vertical="center"/>
    </xf>
    <xf numFmtId="1" fontId="8" fillId="0" borderId="23" xfId="304" applyNumberFormat="1" applyFont="1" applyBorder="1" applyAlignment="1">
      <alignment horizontal="center" vertical="center"/>
    </xf>
    <xf numFmtId="1" fontId="8" fillId="0" borderId="53" xfId="304" applyNumberFormat="1" applyFont="1" applyBorder="1" applyAlignment="1">
      <alignment horizontal="center" vertical="center"/>
    </xf>
    <xf numFmtId="1" fontId="8" fillId="0" borderId="54" xfId="304" applyNumberFormat="1" applyFont="1" applyBorder="1" applyAlignment="1">
      <alignment horizontal="center" vertical="center"/>
    </xf>
    <xf numFmtId="1" fontId="8" fillId="0" borderId="55" xfId="304" applyNumberFormat="1" applyFont="1" applyBorder="1" applyAlignment="1">
      <alignment horizontal="center" vertical="center"/>
    </xf>
    <xf numFmtId="1" fontId="8" fillId="0" borderId="51" xfId="304" applyNumberFormat="1" applyFont="1" applyBorder="1" applyAlignment="1">
      <alignment horizontal="center" vertical="center"/>
    </xf>
    <xf numFmtId="0" fontId="8" fillId="0" borderId="0" xfId="304" applyFont="1" applyAlignment="1">
      <alignment horizontal="center" vertical="center"/>
    </xf>
    <xf numFmtId="0" fontId="8" fillId="0" borderId="17" xfId="304" applyFont="1" applyBorder="1" applyAlignment="1">
      <alignment horizontal="center"/>
    </xf>
    <xf numFmtId="1" fontId="8" fillId="0" borderId="17" xfId="304" applyNumberFormat="1" applyFont="1" applyBorder="1" applyAlignment="1"/>
    <xf numFmtId="1" fontId="8" fillId="0" borderId="17" xfId="304" applyNumberFormat="1" applyFont="1" applyBorder="1" applyAlignment="1">
      <alignment horizontal="center"/>
    </xf>
    <xf numFmtId="2" fontId="8" fillId="0" borderId="17" xfId="304" applyNumberFormat="1" applyFont="1" applyBorder="1" applyAlignment="1">
      <alignment horizontal="center"/>
    </xf>
    <xf numFmtId="0" fontId="8" fillId="0" borderId="28" xfId="304" applyFont="1" applyBorder="1" applyAlignment="1">
      <alignment horizontal="center"/>
    </xf>
    <xf numFmtId="0" fontId="8" fillId="0" borderId="28" xfId="304" applyFont="1" applyBorder="1" applyAlignment="1">
      <alignment horizontal="left"/>
    </xf>
    <xf numFmtId="2" fontId="8" fillId="0" borderId="28" xfId="304" applyNumberFormat="1" applyFont="1" applyBorder="1" applyAlignment="1">
      <alignment horizontal="center"/>
    </xf>
    <xf numFmtId="16" fontId="71" fillId="0" borderId="28" xfId="304" applyNumberFormat="1" applyFont="1" applyFill="1" applyBorder="1" applyAlignment="1">
      <alignment horizontal="center" vertical="top" wrapText="1"/>
    </xf>
    <xf numFmtId="2" fontId="8" fillId="0" borderId="28" xfId="304" applyNumberFormat="1" applyFont="1" applyFill="1" applyBorder="1" applyAlignment="1"/>
    <xf numFmtId="2" fontId="8" fillId="0" borderId="28" xfId="304" applyNumberFormat="1" applyFont="1" applyFill="1" applyBorder="1" applyAlignment="1">
      <alignment horizontal="right"/>
    </xf>
    <xf numFmtId="2" fontId="8" fillId="0" borderId="28" xfId="304" applyNumberFormat="1" applyFont="1" applyBorder="1" applyAlignment="1">
      <alignment horizontal="right"/>
    </xf>
    <xf numFmtId="1" fontId="8" fillId="0" borderId="28" xfId="304" applyNumberFormat="1" applyFont="1" applyBorder="1" applyAlignment="1">
      <alignment horizontal="right"/>
    </xf>
    <xf numFmtId="0" fontId="8" fillId="0" borderId="17" xfId="304" applyFont="1" applyBorder="1" applyAlignment="1">
      <alignment horizontal="right"/>
    </xf>
    <xf numFmtId="0" fontId="8" fillId="0" borderId="17" xfId="304" applyFont="1" applyFill="1" applyBorder="1" applyAlignment="1">
      <alignment horizontal="center"/>
    </xf>
    <xf numFmtId="2" fontId="8" fillId="0" borderId="17" xfId="304" applyNumberFormat="1" applyFont="1" applyFill="1" applyBorder="1" applyAlignment="1"/>
    <xf numFmtId="2" fontId="8" fillId="0" borderId="17" xfId="304" applyNumberFormat="1" applyFont="1" applyFill="1" applyBorder="1" applyAlignment="1">
      <alignment horizontal="right"/>
    </xf>
    <xf numFmtId="0" fontId="8" fillId="0" borderId="0" xfId="304" applyFont="1" applyFill="1" applyAlignment="1">
      <alignment horizontal="center"/>
    </xf>
    <xf numFmtId="2" fontId="8" fillId="0" borderId="0" xfId="304" applyNumberFormat="1" applyFont="1" applyFill="1" applyAlignment="1"/>
    <xf numFmtId="0" fontId="13" fillId="0" borderId="0" xfId="0" applyFont="1" applyAlignment="1">
      <alignment horizontal="center"/>
    </xf>
    <xf numFmtId="0" fontId="108" fillId="0" borderId="0" xfId="0" applyFont="1" applyAlignment="1">
      <alignment vertical="justify" wrapText="1"/>
    </xf>
    <xf numFmtId="0" fontId="31" fillId="0" borderId="34" xfId="283" applyFont="1" applyFill="1" applyBorder="1" applyAlignment="1">
      <alignment horizontal="center" vertical="top"/>
    </xf>
    <xf numFmtId="0" fontId="13" fillId="0" borderId="34" xfId="283" applyFont="1" applyFill="1" applyBorder="1" applyAlignment="1">
      <alignment horizontal="left" vertical="top" wrapText="1"/>
    </xf>
    <xf numFmtId="2" fontId="31" fillId="0" borderId="17" xfId="283" applyNumberFormat="1" applyFont="1" applyFill="1" applyBorder="1" applyAlignment="1">
      <alignment horizontal="center" vertical="top"/>
    </xf>
    <xf numFmtId="0" fontId="31" fillId="0" borderId="17" xfId="283" applyFont="1" applyFill="1" applyBorder="1" applyAlignment="1">
      <alignment horizontal="center" vertical="top"/>
    </xf>
    <xf numFmtId="0" fontId="31" fillId="0" borderId="17" xfId="283" applyFont="1" applyFill="1" applyBorder="1" applyAlignment="1">
      <alignment horizontal="left" vertical="top" wrapText="1"/>
    </xf>
    <xf numFmtId="0" fontId="31" fillId="0" borderId="17" xfId="283" applyFont="1" applyFill="1" applyBorder="1" applyAlignment="1">
      <alignment horizontal="center" vertical="top" wrapText="1"/>
    </xf>
    <xf numFmtId="0" fontId="4" fillId="0" borderId="0" xfId="304" applyFont="1" applyAlignment="1">
      <alignment horizontal="center"/>
    </xf>
    <xf numFmtId="0" fontId="13" fillId="0" borderId="0" xfId="0" applyFont="1" applyFill="1" applyAlignment="1">
      <alignment horizontal="center"/>
    </xf>
    <xf numFmtId="0" fontId="6" fillId="0" borderId="0" xfId="0" applyFont="1" applyBorder="1" applyAlignment="1">
      <alignment horizont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8" fillId="0" borderId="14" xfId="0" applyFont="1" applyBorder="1" applyAlignment="1">
      <alignment horizontal="center" vertical="center" wrapText="1"/>
    </xf>
    <xf numFmtId="2" fontId="3" fillId="0" borderId="0" xfId="0" applyNumberFormat="1" applyFont="1" applyBorder="1" applyAlignment="1">
      <alignment horizontal="center"/>
    </xf>
    <xf numFmtId="0" fontId="3" fillId="0" borderId="14"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Alignment="1">
      <alignment horizontal="center" vertical="center"/>
    </xf>
    <xf numFmtId="2" fontId="5" fillId="0" borderId="0" xfId="0" applyNumberFormat="1" applyFont="1" applyAlignment="1">
      <alignment horizontal="center"/>
    </xf>
    <xf numFmtId="2" fontId="6" fillId="0" borderId="0" xfId="0" applyNumberFormat="1" applyFont="1" applyAlignment="1">
      <alignment horizontal="center"/>
    </xf>
    <xf numFmtId="1" fontId="3" fillId="0" borderId="0" xfId="0" applyNumberFormat="1" applyFont="1" applyAlignment="1">
      <alignment vertical="center"/>
    </xf>
    <xf numFmtId="1" fontId="3" fillId="0" borderId="0" xfId="0" applyNumberFormat="1" applyFont="1" applyBorder="1" applyAlignment="1">
      <alignment vertical="center"/>
    </xf>
    <xf numFmtId="1" fontId="6" fillId="0" borderId="0" xfId="0" applyNumberFormat="1" applyFont="1" applyAlignment="1">
      <alignment vertical="center"/>
    </xf>
    <xf numFmtId="0" fontId="111" fillId="0" borderId="0" xfId="400" applyFont="1" applyBorder="1" applyAlignment="1">
      <alignment horizontal="center" vertical="center"/>
    </xf>
    <xf numFmtId="2" fontId="111" fillId="0" borderId="0" xfId="400" applyNumberFormat="1" applyFont="1" applyBorder="1" applyAlignment="1">
      <alignment horizontal="right" vertical="center"/>
    </xf>
    <xf numFmtId="165" fontId="111" fillId="0" borderId="0" xfId="400" applyNumberFormat="1" applyFont="1" applyBorder="1" applyAlignment="1">
      <alignment horizontal="center" vertical="center"/>
    </xf>
    <xf numFmtId="2" fontId="111" fillId="0" borderId="0" xfId="400" applyNumberFormat="1" applyFont="1" applyBorder="1" applyAlignment="1">
      <alignment horizontal="center" vertical="center"/>
    </xf>
    <xf numFmtId="2" fontId="6" fillId="0" borderId="0" xfId="0" applyNumberFormat="1" applyFont="1" applyBorder="1" applyAlignment="1">
      <alignment horizontal="center"/>
    </xf>
    <xf numFmtId="0" fontId="112" fillId="0" borderId="0" xfId="0" applyFont="1" applyBorder="1" applyAlignment="1">
      <alignment horizontal="center" vertical="center" wrapText="1"/>
    </xf>
    <xf numFmtId="0" fontId="112" fillId="0" borderId="0" xfId="0" applyFont="1" applyBorder="1" applyAlignment="1">
      <alignment horizontal="left" vertical="top" wrapText="1"/>
    </xf>
    <xf numFmtId="0" fontId="112" fillId="0" borderId="0" xfId="0" applyFont="1" applyBorder="1" applyAlignment="1">
      <alignment horizontal="right" vertical="center"/>
    </xf>
    <xf numFmtId="0" fontId="112" fillId="0" borderId="0" xfId="0" applyFont="1" applyBorder="1" applyAlignment="1">
      <alignment horizontal="center" vertical="center"/>
    </xf>
    <xf numFmtId="2" fontId="112" fillId="0" borderId="0" xfId="0" applyNumberFormat="1" applyFont="1" applyBorder="1" applyAlignment="1">
      <alignment horizontal="center" vertical="center"/>
    </xf>
    <xf numFmtId="0" fontId="3" fillId="0" borderId="0" xfId="0" quotePrefix="1" applyFont="1" applyBorder="1" applyAlignment="1">
      <alignment horizontal="center"/>
    </xf>
    <xf numFmtId="0" fontId="112" fillId="0" borderId="0" xfId="0" applyFont="1" applyBorder="1" applyAlignment="1">
      <alignment horizontal="center" wrapText="1"/>
    </xf>
    <xf numFmtId="0" fontId="3" fillId="0" borderId="0" xfId="0" applyFont="1" applyBorder="1" applyAlignment="1">
      <alignment horizontal="justify"/>
    </xf>
    <xf numFmtId="0" fontId="3" fillId="0" borderId="0" xfId="0" applyFont="1" applyBorder="1" applyAlignment="1"/>
    <xf numFmtId="0" fontId="113" fillId="0" borderId="0" xfId="0" applyFont="1" applyBorder="1" applyAlignment="1">
      <alignment horizontal="center" wrapText="1"/>
    </xf>
    <xf numFmtId="0" fontId="113" fillId="0" borderId="0" xfId="0" applyFont="1" applyBorder="1" applyAlignment="1">
      <alignment horizontal="center"/>
    </xf>
    <xf numFmtId="2" fontId="113" fillId="0" borderId="0" xfId="0" applyNumberFormat="1" applyFont="1" applyBorder="1" applyAlignment="1">
      <alignment horizontal="center"/>
    </xf>
    <xf numFmtId="10" fontId="4" fillId="0" borderId="0" xfId="0" applyNumberFormat="1" applyFont="1" applyFill="1" applyBorder="1" applyAlignment="1">
      <alignment horizontal="center"/>
    </xf>
    <xf numFmtId="0" fontId="4" fillId="0" borderId="0" xfId="0" applyFont="1" applyFill="1" applyBorder="1" applyAlignment="1">
      <alignment horizontal="center"/>
    </xf>
    <xf numFmtId="0" fontId="8" fillId="0" borderId="14" xfId="304" applyFont="1" applyBorder="1" applyAlignment="1">
      <alignment horizontal="center" vertical="center" wrapText="1"/>
    </xf>
    <xf numFmtId="2" fontId="8" fillId="0" borderId="14" xfId="304" applyNumberFormat="1" applyFont="1" applyBorder="1" applyAlignment="1">
      <alignment horizontal="center" vertical="center" wrapText="1"/>
    </xf>
    <xf numFmtId="16" fontId="8" fillId="0" borderId="14" xfId="304" applyNumberFormat="1" applyFont="1" applyFill="1" applyBorder="1" applyAlignment="1">
      <alignment horizontal="center" vertical="center" wrapText="1"/>
    </xf>
    <xf numFmtId="2" fontId="8" fillId="0" borderId="14" xfId="304" applyNumberFormat="1" applyFont="1" applyFill="1" applyBorder="1" applyAlignment="1">
      <alignment horizontal="center" vertical="center" wrapText="1"/>
    </xf>
    <xf numFmtId="0" fontId="8" fillId="0" borderId="0" xfId="304" applyFont="1" applyAlignment="1">
      <alignment horizontal="center" vertical="center" wrapText="1"/>
    </xf>
    <xf numFmtId="2" fontId="8" fillId="0" borderId="0" xfId="304" applyNumberFormat="1" applyFont="1" applyAlignment="1">
      <alignment horizontal="center" vertical="center" wrapText="1"/>
    </xf>
    <xf numFmtId="49" fontId="8" fillId="0" borderId="14" xfId="304" applyNumberFormat="1" applyFont="1" applyFill="1" applyBorder="1" applyAlignment="1">
      <alignment horizontal="center" vertical="center" wrapText="1"/>
    </xf>
    <xf numFmtId="0" fontId="8" fillId="0" borderId="14" xfId="304" applyFont="1" applyFill="1" applyBorder="1" applyAlignment="1">
      <alignment horizontal="center" vertical="center" wrapText="1"/>
    </xf>
    <xf numFmtId="0" fontId="8" fillId="0" borderId="0" xfId="304" applyFont="1" applyFill="1" applyAlignment="1">
      <alignment horizontal="center" vertical="center" wrapText="1"/>
    </xf>
    <xf numFmtId="2" fontId="8" fillId="0" borderId="14" xfId="0" applyNumberFormat="1" applyFont="1" applyBorder="1" applyAlignment="1">
      <alignment horizontal="center" vertical="center" wrapText="1"/>
    </xf>
    <xf numFmtId="0" fontId="8" fillId="0" borderId="0" xfId="0" applyFont="1" applyAlignment="1">
      <alignment horizontal="center" vertical="center" wrapText="1"/>
    </xf>
    <xf numFmtId="1" fontId="8" fillId="0" borderId="14" xfId="0" applyNumberFormat="1" applyFont="1" applyBorder="1" applyAlignment="1">
      <alignment horizontal="center" vertical="center" wrapText="1"/>
    </xf>
    <xf numFmtId="2" fontId="43" fillId="0" borderId="17" xfId="304" applyNumberFormat="1" applyFont="1" applyBorder="1" applyAlignment="1">
      <alignment horizontal="center"/>
    </xf>
    <xf numFmtId="2" fontId="8" fillId="0" borderId="0" xfId="304" applyNumberFormat="1" applyFont="1" applyFill="1" applyAlignment="1">
      <alignment horizontal="center" vertical="center" wrapText="1"/>
    </xf>
    <xf numFmtId="0" fontId="8" fillId="0" borderId="14" xfId="304" applyFont="1" applyBorder="1" applyAlignment="1">
      <alignment horizontal="left" vertical="top" wrapText="1"/>
    </xf>
    <xf numFmtId="0" fontId="4" fillId="0" borderId="22" xfId="304" applyFont="1" applyBorder="1" applyAlignment="1">
      <alignment horizontal="left"/>
    </xf>
    <xf numFmtId="0" fontId="69" fillId="0" borderId="0" xfId="283" applyNumberFormat="1" applyFont="1" applyAlignment="1">
      <alignment horizontal="center"/>
    </xf>
    <xf numFmtId="0" fontId="100" fillId="0" borderId="0" xfId="0" applyFont="1" applyBorder="1" applyAlignment="1">
      <alignment horizontal="center"/>
    </xf>
    <xf numFmtId="0" fontId="3" fillId="0" borderId="0" xfId="0" applyFont="1" applyAlignment="1">
      <alignment horizontal="center"/>
    </xf>
    <xf numFmtId="0" fontId="3" fillId="0" borderId="0" xfId="0" applyFont="1" applyBorder="1" applyAlignment="1">
      <alignment horizontal="justify" vertical="top"/>
    </xf>
    <xf numFmtId="0" fontId="3" fillId="0" borderId="0" xfId="0" applyFont="1" applyAlignment="1">
      <alignment horizontal="justify" vertical="top"/>
    </xf>
    <xf numFmtId="0" fontId="3" fillId="0" borderId="0" xfId="0" applyFont="1" applyAlignment="1">
      <alignment horizontal="justify" vertical="top" readingOrder="1"/>
    </xf>
    <xf numFmtId="0" fontId="48" fillId="0" borderId="0" xfId="0" applyFont="1" applyFill="1" applyBorder="1" applyAlignment="1">
      <alignment vertical="top"/>
    </xf>
    <xf numFmtId="0" fontId="48" fillId="0" borderId="0" xfId="0" applyFont="1" applyBorder="1" applyAlignment="1">
      <alignment vertical="center"/>
    </xf>
    <xf numFmtId="0" fontId="115" fillId="0" borderId="0" xfId="0" applyFont="1" applyFill="1" applyBorder="1" applyAlignment="1">
      <alignment horizontal="right" vertical="top" wrapText="1"/>
    </xf>
    <xf numFmtId="0" fontId="48" fillId="0" borderId="0" xfId="0" applyFont="1" applyFill="1" applyBorder="1" applyAlignment="1">
      <alignment vertical="center"/>
    </xf>
    <xf numFmtId="0" fontId="6" fillId="0" borderId="0" xfId="0" applyFont="1" applyAlignment="1"/>
    <xf numFmtId="0" fontId="117" fillId="0" borderId="0" xfId="0" applyFont="1" applyAlignment="1">
      <alignment horizontal="center"/>
    </xf>
    <xf numFmtId="1" fontId="117" fillId="0" borderId="0" xfId="0" applyNumberFormat="1" applyFont="1" applyAlignment="1">
      <alignment vertical="center"/>
    </xf>
    <xf numFmtId="0" fontId="3" fillId="0" borderId="14" xfId="0" applyFont="1" applyBorder="1" applyAlignment="1">
      <alignment horizontal="center" vertical="center" wrapText="1"/>
    </xf>
    <xf numFmtId="0" fontId="6" fillId="0" borderId="14" xfId="0" applyFont="1" applyBorder="1" applyAlignment="1">
      <alignment horizontal="center" vertical="center" wrapText="1"/>
    </xf>
    <xf numFmtId="1" fontId="3" fillId="0" borderId="14" xfId="0" applyNumberFormat="1" applyFont="1" applyBorder="1" applyAlignment="1">
      <alignment vertical="center" wrapText="1"/>
    </xf>
    <xf numFmtId="2" fontId="3" fillId="0" borderId="14" xfId="0" applyNumberFormat="1" applyFont="1" applyBorder="1" applyAlignment="1">
      <alignment horizontal="center" vertical="center" wrapText="1"/>
    </xf>
    <xf numFmtId="0" fontId="6" fillId="0" borderId="14" xfId="0" applyFont="1" applyBorder="1" applyAlignment="1">
      <alignment horizontal="justify" vertical="top"/>
    </xf>
    <xf numFmtId="0" fontId="6" fillId="0" borderId="14" xfId="0" applyFont="1" applyBorder="1" applyAlignment="1">
      <alignment horizontal="center"/>
    </xf>
    <xf numFmtId="1" fontId="6" fillId="0" borderId="14" xfId="0" applyNumberFormat="1" applyFont="1" applyBorder="1" applyAlignment="1">
      <alignment vertical="center"/>
    </xf>
    <xf numFmtId="0" fontId="3" fillId="0" borderId="14" xfId="0" applyFont="1" applyBorder="1" applyAlignment="1">
      <alignment horizontal="center"/>
    </xf>
    <xf numFmtId="2" fontId="3" fillId="0" borderId="14" xfId="0" applyNumberFormat="1" applyFont="1" applyBorder="1" applyAlignment="1">
      <alignment horizontal="center"/>
    </xf>
    <xf numFmtId="0" fontId="2" fillId="0" borderId="0" xfId="0" applyFont="1" applyBorder="1" applyAlignment="1">
      <alignment horizontal="center"/>
    </xf>
    <xf numFmtId="2" fontId="2" fillId="0" borderId="0" xfId="0" applyNumberFormat="1" applyFont="1" applyBorder="1" applyAlignment="1">
      <alignment horizontal="center"/>
    </xf>
    <xf numFmtId="0" fontId="113" fillId="0" borderId="0" xfId="0" applyFont="1" applyBorder="1" applyAlignment="1">
      <alignment horizontal="left" vertical="top" wrapText="1"/>
    </xf>
    <xf numFmtId="1" fontId="112" fillId="0" borderId="0" xfId="0" applyNumberFormat="1" applyFont="1" applyBorder="1" applyAlignment="1">
      <alignment vertical="center"/>
    </xf>
    <xf numFmtId="0" fontId="113" fillId="0" borderId="0" xfId="0" applyFont="1" applyBorder="1" applyAlignment="1">
      <alignment horizontal="left" vertical="center"/>
    </xf>
    <xf numFmtId="0" fontId="113" fillId="0" borderId="0" xfId="0" applyFont="1" applyBorder="1" applyAlignment="1">
      <alignment horizontal="center" vertical="center" wrapText="1"/>
    </xf>
    <xf numFmtId="0" fontId="113" fillId="0" borderId="0" xfId="0" applyFont="1" applyBorder="1" applyAlignment="1">
      <alignment horizontal="center" vertical="center"/>
    </xf>
    <xf numFmtId="2" fontId="113" fillId="0" borderId="0" xfId="0" applyNumberFormat="1" applyFont="1" applyBorder="1" applyAlignment="1">
      <alignment horizontal="center" vertical="center"/>
    </xf>
    <xf numFmtId="2" fontId="113" fillId="0" borderId="0" xfId="0" applyNumberFormat="1" applyFont="1" applyBorder="1" applyAlignment="1">
      <alignment vertical="center"/>
    </xf>
    <xf numFmtId="0" fontId="112" fillId="0" borderId="0" xfId="0" applyFont="1" applyBorder="1" applyAlignment="1">
      <alignment horizontal="left" vertical="center"/>
    </xf>
    <xf numFmtId="0" fontId="112" fillId="0" borderId="0" xfId="0" applyFont="1" applyBorder="1" applyAlignment="1">
      <alignment horizontal="left" vertical="top"/>
    </xf>
    <xf numFmtId="0" fontId="112" fillId="0" borderId="0" xfId="0" applyFont="1" applyBorder="1" applyAlignment="1">
      <alignment horizontal="center" vertical="top"/>
    </xf>
    <xf numFmtId="0" fontId="118" fillId="0" borderId="0" xfId="0" applyFont="1" applyBorder="1" applyAlignment="1">
      <alignment horizontal="left" vertical="top" wrapText="1"/>
    </xf>
    <xf numFmtId="0" fontId="48" fillId="0" borderId="0" xfId="0" applyFont="1" applyBorder="1" applyAlignment="1">
      <alignment vertical="top"/>
    </xf>
    <xf numFmtId="0" fontId="118" fillId="0" borderId="0" xfId="0" applyFont="1" applyBorder="1" applyAlignment="1">
      <alignment horizontal="center" vertical="center" wrapText="1"/>
    </xf>
    <xf numFmtId="0" fontId="118" fillId="0" borderId="0" xfId="0" applyFont="1" applyBorder="1" applyAlignment="1">
      <alignment horizontal="center" vertical="center"/>
    </xf>
    <xf numFmtId="2" fontId="118" fillId="0" borderId="0" xfId="0" applyNumberFormat="1" applyFont="1" applyBorder="1" applyAlignment="1">
      <alignment vertical="center"/>
    </xf>
    <xf numFmtId="2" fontId="118" fillId="0" borderId="0" xfId="0" applyNumberFormat="1" applyFont="1" applyBorder="1" applyAlignment="1">
      <alignment horizontal="center" vertical="center"/>
    </xf>
    <xf numFmtId="0" fontId="118" fillId="0" borderId="0" xfId="0" applyFont="1" applyBorder="1" applyAlignment="1">
      <alignment horizontal="left" vertical="top"/>
    </xf>
    <xf numFmtId="0" fontId="118" fillId="0" borderId="0" xfId="0" applyFont="1" applyBorder="1" applyAlignment="1">
      <alignment horizontal="left" vertical="center"/>
    </xf>
    <xf numFmtId="165" fontId="118" fillId="0" borderId="0" xfId="0" applyNumberFormat="1" applyFont="1" applyBorder="1" applyAlignment="1">
      <alignment vertical="center"/>
    </xf>
    <xf numFmtId="1" fontId="118" fillId="0" borderId="0" xfId="0" applyNumberFormat="1" applyFont="1" applyBorder="1" applyAlignment="1">
      <alignment vertical="center"/>
    </xf>
    <xf numFmtId="2" fontId="119" fillId="0" borderId="0" xfId="400" applyNumberFormat="1" applyFont="1" applyBorder="1" applyAlignment="1">
      <alignment horizontal="center" vertical="center"/>
    </xf>
    <xf numFmtId="0" fontId="118" fillId="0" borderId="0" xfId="0" applyFont="1" applyBorder="1" applyAlignment="1">
      <alignment horizontal="center" vertical="top"/>
    </xf>
    <xf numFmtId="0" fontId="119" fillId="0" borderId="0" xfId="400" applyFont="1" applyBorder="1" applyAlignment="1">
      <alignment horizontal="center" vertical="center"/>
    </xf>
    <xf numFmtId="2" fontId="119" fillId="0" borderId="0" xfId="400" applyNumberFormat="1" applyFont="1" applyBorder="1" applyAlignment="1">
      <alignment horizontal="right" vertical="center"/>
    </xf>
    <xf numFmtId="165" fontId="119" fillId="0" borderId="0" xfId="400" applyNumberFormat="1" applyFont="1" applyBorder="1" applyAlignment="1">
      <alignment horizontal="center" vertical="center"/>
    </xf>
    <xf numFmtId="0" fontId="119" fillId="0" borderId="0" xfId="400" applyFont="1" applyBorder="1" applyAlignment="1">
      <alignment horizontal="left" vertical="center"/>
    </xf>
    <xf numFmtId="2" fontId="118" fillId="0" borderId="0" xfId="0" applyNumberFormat="1" applyFont="1" applyBorder="1" applyAlignment="1">
      <alignment horizontal="center" vertical="center" wrapText="1"/>
    </xf>
    <xf numFmtId="0" fontId="118" fillId="0" borderId="0" xfId="0" applyFont="1" applyBorder="1" applyAlignment="1">
      <alignment horizontal="right" vertical="center"/>
    </xf>
    <xf numFmtId="0" fontId="119" fillId="0" borderId="0" xfId="400" applyFont="1" applyBorder="1" applyAlignment="1">
      <alignment horizontal="right" vertical="center"/>
    </xf>
    <xf numFmtId="0" fontId="118" fillId="0" borderId="0" xfId="0" applyFont="1" applyBorder="1" applyAlignment="1">
      <alignment horizontal="right" vertical="top" wrapText="1"/>
    </xf>
    <xf numFmtId="0" fontId="118" fillId="0" borderId="0" xfId="0" applyFont="1" applyBorder="1" applyAlignment="1">
      <alignment horizontal="center" wrapText="1"/>
    </xf>
    <xf numFmtId="0" fontId="118" fillId="0" borderId="0" xfId="0" applyFont="1" applyBorder="1" applyAlignment="1">
      <alignment horizontal="center"/>
    </xf>
    <xf numFmtId="2" fontId="118" fillId="0" borderId="0" xfId="0" applyNumberFormat="1" applyFont="1" applyBorder="1" applyAlignment="1">
      <alignment horizontal="center"/>
    </xf>
    <xf numFmtId="0" fontId="2" fillId="0" borderId="0" xfId="0" applyFont="1"/>
    <xf numFmtId="0" fontId="13" fillId="0" borderId="0" xfId="0" applyFont="1" applyBorder="1" applyAlignment="1">
      <alignment horizontal="center" vertical="top"/>
    </xf>
    <xf numFmtId="0" fontId="13" fillId="0" borderId="0" xfId="0" applyFont="1" applyBorder="1" applyAlignment="1">
      <alignment horizontal="left" vertical="top" wrapText="1"/>
    </xf>
    <xf numFmtId="0" fontId="120" fillId="0" borderId="0" xfId="0" applyFont="1" applyBorder="1" applyAlignment="1">
      <alignment horizontal="left"/>
    </xf>
    <xf numFmtId="0" fontId="120" fillId="0" borderId="0" xfId="0" applyFont="1" applyBorder="1" applyAlignment="1">
      <alignment horizontal="center" vertical="top"/>
    </xf>
    <xf numFmtId="0" fontId="2" fillId="0" borderId="0" xfId="0" applyFont="1" applyBorder="1"/>
    <xf numFmtId="0" fontId="2" fillId="0" borderId="0" xfId="0" applyFont="1" applyBorder="1" applyAlignment="1">
      <alignment horizontal="left" vertical="top"/>
    </xf>
    <xf numFmtId="0" fontId="2" fillId="0" borderId="0" xfId="0" applyFont="1" applyBorder="1" applyAlignment="1">
      <alignment horizontal="left"/>
    </xf>
    <xf numFmtId="0" fontId="2" fillId="0" borderId="0" xfId="0" applyFont="1" applyAlignment="1">
      <alignment horizontal="center" vertical="center"/>
    </xf>
    <xf numFmtId="0" fontId="2" fillId="0" borderId="67" xfId="0" applyFont="1" applyBorder="1" applyAlignment="1">
      <alignment horizontal="center" vertical="center"/>
    </xf>
    <xf numFmtId="0" fontId="122" fillId="0" borderId="59" xfId="0" applyFont="1" applyBorder="1" applyAlignment="1">
      <alignment horizontal="center" vertical="center" wrapText="1"/>
    </xf>
    <xf numFmtId="0" fontId="122" fillId="0" borderId="0" xfId="0" applyFont="1" applyBorder="1" applyAlignment="1">
      <alignment horizontal="center" vertical="center" wrapText="1"/>
    </xf>
    <xf numFmtId="0" fontId="2" fillId="0" borderId="59" xfId="0" applyFont="1" applyBorder="1" applyAlignment="1">
      <alignment horizontal="center" vertical="center"/>
    </xf>
    <xf numFmtId="0" fontId="2" fillId="0" borderId="14" xfId="0" applyFont="1" applyBorder="1" applyAlignment="1">
      <alignment horizontal="center" vertical="center"/>
    </xf>
    <xf numFmtId="0" fontId="2" fillId="0" borderId="14" xfId="0" applyFont="1" applyBorder="1" applyAlignment="1">
      <alignment horizontal="left" vertical="top" wrapText="1"/>
    </xf>
    <xf numFmtId="2" fontId="2" fillId="0" borderId="14" xfId="0" applyNumberFormat="1" applyFont="1" applyBorder="1" applyAlignment="1">
      <alignment horizontal="center" vertical="center"/>
    </xf>
    <xf numFmtId="0" fontId="122" fillId="0" borderId="14" xfId="0" applyFont="1" applyBorder="1" applyAlignment="1">
      <alignment horizontal="center" wrapText="1"/>
    </xf>
    <xf numFmtId="0" fontId="2" fillId="0" borderId="14" xfId="0" applyFont="1" applyBorder="1" applyAlignment="1">
      <alignment horizontal="center"/>
    </xf>
    <xf numFmtId="2" fontId="2" fillId="0" borderId="14" xfId="0" applyNumberFormat="1" applyFont="1" applyBorder="1" applyAlignment="1">
      <alignment horizontal="center"/>
    </xf>
    <xf numFmtId="0" fontId="122" fillId="0" borderId="14" xfId="0" applyFont="1" applyBorder="1" applyAlignment="1">
      <alignment horizontal="center" vertical="center" wrapText="1"/>
    </xf>
    <xf numFmtId="0" fontId="2" fillId="0" borderId="14" xfId="0" applyFont="1" applyBorder="1" applyAlignment="1">
      <alignment horizontal="left" wrapText="1"/>
    </xf>
    <xf numFmtId="0" fontId="2" fillId="0" borderId="0" xfId="0" applyFont="1" applyBorder="1" applyAlignment="1">
      <alignment vertical="center"/>
    </xf>
    <xf numFmtId="164" fontId="2" fillId="0" borderId="14" xfId="0" applyNumberFormat="1" applyFont="1" applyBorder="1" applyAlignment="1">
      <alignment horizontal="center" vertical="center"/>
    </xf>
    <xf numFmtId="0" fontId="2" fillId="0" borderId="14" xfId="0" applyFont="1" applyBorder="1" applyAlignment="1">
      <alignment horizontal="left" vertical="center" wrapText="1"/>
    </xf>
    <xf numFmtId="0" fontId="2" fillId="0" borderId="0" xfId="0" applyFont="1" applyFill="1" applyBorder="1" applyAlignment="1">
      <alignment horizontal="left"/>
    </xf>
    <xf numFmtId="0" fontId="2" fillId="0" borderId="0" xfId="0" applyFont="1" applyBorder="1" applyAlignment="1"/>
    <xf numFmtId="0" fontId="2" fillId="0" borderId="18" xfId="0" applyFont="1" applyBorder="1" applyAlignment="1">
      <alignment horizontal="center" vertical="center"/>
    </xf>
    <xf numFmtId="0" fontId="2" fillId="0" borderId="18" xfId="0" applyFont="1" applyBorder="1" applyAlignment="1">
      <alignment horizontal="left" vertical="center" wrapText="1"/>
    </xf>
    <xf numFmtId="2" fontId="2" fillId="0" borderId="18" xfId="0" applyNumberFormat="1" applyFont="1" applyBorder="1" applyAlignment="1">
      <alignment horizontal="center" vertical="center"/>
    </xf>
    <xf numFmtId="164" fontId="2" fillId="0" borderId="18" xfId="0" applyNumberFormat="1" applyFont="1" applyBorder="1" applyAlignment="1">
      <alignment horizontal="center" vertical="center"/>
    </xf>
    <xf numFmtId="0" fontId="2" fillId="0" borderId="39" xfId="0" applyFont="1" applyBorder="1" applyAlignment="1">
      <alignment horizontal="center"/>
    </xf>
    <xf numFmtId="0" fontId="2" fillId="0" borderId="16" xfId="0" applyFont="1" applyBorder="1" applyAlignment="1">
      <alignment horizontal="left" vertical="top"/>
    </xf>
    <xf numFmtId="0" fontId="13" fillId="0" borderId="16" xfId="0" applyFont="1" applyBorder="1" applyAlignment="1">
      <alignment horizontal="center" vertical="center"/>
    </xf>
    <xf numFmtId="0" fontId="2" fillId="0" borderId="16" xfId="0" applyFont="1" applyBorder="1" applyAlignment="1">
      <alignment horizontal="center" vertical="center"/>
    </xf>
    <xf numFmtId="2" fontId="13" fillId="0" borderId="16" xfId="0" applyNumberFormat="1" applyFont="1" applyBorder="1" applyAlignment="1">
      <alignment horizontal="center" vertical="center"/>
    </xf>
    <xf numFmtId="2" fontId="13" fillId="0" borderId="37" xfId="0" applyNumberFormat="1" applyFont="1" applyBorder="1" applyAlignment="1">
      <alignment horizontal="center" vertical="center"/>
    </xf>
    <xf numFmtId="0" fontId="2" fillId="0" borderId="0" xfId="0" applyFont="1" applyAlignment="1">
      <alignment horizontal="left"/>
    </xf>
    <xf numFmtId="0" fontId="120" fillId="0" borderId="0" xfId="0" applyFont="1" applyAlignment="1">
      <alignment horizontal="left" vertical="top"/>
    </xf>
    <xf numFmtId="0" fontId="120" fillId="0" borderId="0" xfId="0" applyFont="1" applyAlignment="1">
      <alignment horizontal="left" vertical="top" indent="1"/>
    </xf>
    <xf numFmtId="0" fontId="13" fillId="0" borderId="24" xfId="0" applyFont="1" applyBorder="1" applyAlignment="1">
      <alignment horizontal="center" vertical="center" wrapText="1"/>
    </xf>
    <xf numFmtId="0" fontId="13" fillId="0" borderId="20" xfId="0" applyFont="1" applyBorder="1" applyAlignment="1">
      <alignment vertical="center" wrapText="1"/>
    </xf>
    <xf numFmtId="0" fontId="13" fillId="0" borderId="32" xfId="0" applyFont="1" applyBorder="1" applyAlignment="1">
      <alignment horizontal="center" wrapText="1"/>
    </xf>
    <xf numFmtId="0" fontId="13" fillId="0" borderId="3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0" xfId="0" applyFont="1" applyAlignment="1">
      <alignment horizontal="center" vertical="center" wrapText="1"/>
    </xf>
    <xf numFmtId="0" fontId="13" fillId="0" borderId="26" xfId="0" applyFont="1" applyBorder="1" applyAlignment="1">
      <alignment horizontal="center" vertical="center"/>
    </xf>
    <xf numFmtId="0" fontId="13" fillId="0" borderId="26" xfId="0" applyFont="1" applyBorder="1" applyAlignment="1">
      <alignment horizontal="center" vertical="top"/>
    </xf>
    <xf numFmtId="0" fontId="13" fillId="0" borderId="16" xfId="0" applyFont="1" applyBorder="1" applyAlignment="1">
      <alignment vertical="center" wrapText="1"/>
    </xf>
    <xf numFmtId="0" fontId="13" fillId="0" borderId="26"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0" xfId="0" applyFont="1" applyAlignment="1">
      <alignment horizontal="center" vertical="center"/>
    </xf>
    <xf numFmtId="0" fontId="2" fillId="0" borderId="17" xfId="0" applyFont="1" applyBorder="1"/>
    <xf numFmtId="0" fontId="2" fillId="0" borderId="21" xfId="0" applyFont="1" applyBorder="1" applyAlignment="1">
      <alignment horizontal="left" vertical="top"/>
    </xf>
    <xf numFmtId="0" fontId="2" fillId="0" borderId="31" xfId="0" applyFont="1" applyBorder="1" applyAlignment="1"/>
    <xf numFmtId="0" fontId="2" fillId="0" borderId="17" xfId="0" applyFont="1" applyBorder="1" applyAlignment="1">
      <alignment horizontal="left"/>
    </xf>
    <xf numFmtId="0" fontId="2" fillId="0" borderId="14" xfId="0" applyFont="1" applyBorder="1"/>
    <xf numFmtId="0" fontId="13" fillId="0" borderId="15" xfId="0" applyFont="1" applyBorder="1" applyAlignment="1">
      <alignment horizontal="left" vertical="top"/>
    </xf>
    <xf numFmtId="2" fontId="2" fillId="0" borderId="14" xfId="0" applyNumberFormat="1" applyFont="1" applyBorder="1" applyAlignment="1"/>
    <xf numFmtId="2" fontId="2" fillId="0" borderId="14" xfId="0" applyNumberFormat="1" applyFont="1" applyBorder="1" applyAlignment="1">
      <alignment horizontal="left"/>
    </xf>
    <xf numFmtId="0" fontId="2" fillId="0" borderId="15" xfId="0" applyFont="1" applyBorder="1" applyAlignment="1">
      <alignment horizontal="left" vertical="top"/>
    </xf>
    <xf numFmtId="0" fontId="2" fillId="0" borderId="14" xfId="0" applyFont="1" applyBorder="1" applyAlignment="1"/>
    <xf numFmtId="0" fontId="13" fillId="0" borderId="0" xfId="0" applyFont="1" applyAlignment="1">
      <alignment vertical="top" wrapText="1"/>
    </xf>
    <xf numFmtId="0" fontId="2" fillId="0" borderId="14" xfId="0" applyFont="1" applyBorder="1" applyAlignment="1">
      <alignment vertical="center"/>
    </xf>
    <xf numFmtId="2" fontId="2" fillId="0" borderId="14" xfId="0" applyNumberFormat="1" applyFont="1" applyBorder="1" applyAlignment="1">
      <alignment horizontal="left" vertical="center"/>
    </xf>
    <xf numFmtId="0" fontId="2" fillId="0" borderId="28" xfId="0" applyFont="1" applyBorder="1" applyAlignment="1">
      <alignment vertical="center"/>
    </xf>
    <xf numFmtId="0" fontId="13" fillId="0" borderId="29" xfId="0" applyFont="1" applyBorder="1" applyAlignment="1">
      <alignment horizontal="left" vertical="top"/>
    </xf>
    <xf numFmtId="0" fontId="2" fillId="0" borderId="28" xfId="0" applyFont="1" applyBorder="1" applyAlignment="1"/>
    <xf numFmtId="0" fontId="2" fillId="0" borderId="30" xfId="0" applyFont="1" applyBorder="1" applyAlignment="1"/>
    <xf numFmtId="2" fontId="2" fillId="0" borderId="28" xfId="0" applyNumberFormat="1" applyFont="1" applyBorder="1" applyAlignment="1">
      <alignment horizontal="left" vertical="center"/>
    </xf>
    <xf numFmtId="14" fontId="2" fillId="0" borderId="0" xfId="0" applyNumberFormat="1" applyFont="1" applyAlignment="1">
      <alignment horizontal="left"/>
    </xf>
    <xf numFmtId="0" fontId="2" fillId="0" borderId="17" xfId="0" applyFont="1" applyBorder="1" applyAlignment="1">
      <alignment horizontal="left" vertical="top"/>
    </xf>
    <xf numFmtId="0" fontId="13" fillId="0" borderId="21" xfId="0" applyFont="1" applyBorder="1" applyAlignment="1"/>
    <xf numFmtId="0" fontId="2" fillId="0" borderId="22" xfId="0" applyFont="1" applyBorder="1" applyAlignment="1">
      <alignment horizontal="center"/>
    </xf>
    <xf numFmtId="0" fontId="2" fillId="0" borderId="0" xfId="0" applyFont="1" applyAlignment="1">
      <alignment horizontal="left" vertical="top"/>
    </xf>
    <xf numFmtId="0" fontId="13" fillId="0" borderId="0" xfId="0" applyFont="1" applyBorder="1" applyAlignment="1">
      <alignment horizontal="left"/>
    </xf>
    <xf numFmtId="2" fontId="13" fillId="0" borderId="0" xfId="0" applyNumberFormat="1" applyFont="1" applyBorder="1" applyAlignment="1">
      <alignment horizontal="left"/>
    </xf>
    <xf numFmtId="0" fontId="2" fillId="0" borderId="23" xfId="0" applyFont="1" applyBorder="1" applyAlignment="1">
      <alignment horizontal="center"/>
    </xf>
    <xf numFmtId="0" fontId="13" fillId="0" borderId="0" xfId="0" applyFont="1" applyBorder="1"/>
    <xf numFmtId="0" fontId="116" fillId="0" borderId="0" xfId="283" applyNumberFormat="1" applyFont="1"/>
    <xf numFmtId="0" fontId="68" fillId="0" borderId="0" xfId="283" applyNumberFormat="1" applyFont="1" applyAlignment="1"/>
    <xf numFmtId="0" fontId="68" fillId="0" borderId="0" xfId="283" applyNumberFormat="1" applyFont="1" applyAlignment="1">
      <alignment horizontal="center"/>
    </xf>
    <xf numFmtId="0" fontId="116" fillId="0" borderId="0" xfId="283" applyNumberFormat="1" applyFont="1" applyAlignment="1">
      <alignment horizontal="center"/>
    </xf>
    <xf numFmtId="0" fontId="123" fillId="0" borderId="0" xfId="283" applyNumberFormat="1" applyFont="1"/>
    <xf numFmtId="0" fontId="68" fillId="0" borderId="0" xfId="283" applyNumberFormat="1" applyFont="1" applyFill="1"/>
    <xf numFmtId="0" fontId="116" fillId="0" borderId="0" xfId="283" applyNumberFormat="1" applyFont="1" applyFill="1"/>
    <xf numFmtId="0" fontId="116" fillId="0" borderId="0" xfId="283" applyNumberFormat="1" applyFont="1" applyFill="1" applyAlignment="1">
      <alignment horizontal="center"/>
    </xf>
    <xf numFmtId="0" fontId="116" fillId="0" borderId="0" xfId="283" applyNumberFormat="1" applyFont="1" applyFill="1" applyAlignment="1">
      <alignment horizontal="right"/>
    </xf>
    <xf numFmtId="2" fontId="116" fillId="0" borderId="0" xfId="283" applyNumberFormat="1" applyFont="1" applyFill="1"/>
    <xf numFmtId="0" fontId="116" fillId="0" borderId="12" xfId="283" applyNumberFormat="1" applyFont="1" applyFill="1" applyBorder="1" applyAlignment="1">
      <alignment horizontal="right"/>
    </xf>
    <xf numFmtId="0" fontId="116" fillId="0" borderId="0" xfId="283" applyNumberFormat="1" applyFont="1" applyFill="1" applyBorder="1" applyAlignment="1">
      <alignment horizontal="right"/>
    </xf>
    <xf numFmtId="0" fontId="68" fillId="0" borderId="0" xfId="283" applyNumberFormat="1" applyFont="1" applyFill="1" applyAlignment="1">
      <alignment horizontal="right"/>
    </xf>
    <xf numFmtId="9" fontId="116" fillId="0" borderId="0" xfId="283" applyNumberFormat="1" applyFont="1" applyFill="1"/>
    <xf numFmtId="0" fontId="68" fillId="0" borderId="0" xfId="283" applyNumberFormat="1" applyFont="1" applyFill="1" applyAlignment="1">
      <alignment horizontal="center"/>
    </xf>
    <xf numFmtId="0" fontId="68" fillId="0" borderId="0" xfId="283" applyNumberFormat="1" applyFont="1" applyFill="1" applyAlignment="1">
      <alignment horizontal="left" indent="9"/>
    </xf>
    <xf numFmtId="0" fontId="116" fillId="0" borderId="23" xfId="283" applyNumberFormat="1" applyFont="1" applyFill="1" applyBorder="1" applyAlignment="1">
      <alignment horizontal="center"/>
    </xf>
    <xf numFmtId="0" fontId="116" fillId="0" borderId="23" xfId="283" applyNumberFormat="1" applyFont="1" applyFill="1" applyBorder="1" applyAlignment="1">
      <alignment horizontal="right"/>
    </xf>
    <xf numFmtId="1" fontId="116" fillId="0" borderId="0" xfId="283" applyNumberFormat="1" applyFont="1" applyFill="1" applyAlignment="1">
      <alignment horizontal="center"/>
    </xf>
    <xf numFmtId="0" fontId="68" fillId="0" borderId="0" xfId="283" applyFont="1" applyFill="1" applyAlignment="1">
      <alignment horizontal="center"/>
    </xf>
    <xf numFmtId="0" fontId="68" fillId="0" borderId="0" xfId="283" applyFont="1" applyFill="1" applyAlignment="1">
      <alignment horizontal="left"/>
    </xf>
    <xf numFmtId="49" fontId="68" fillId="0" borderId="0" xfId="283" applyNumberFormat="1" applyFont="1" applyFill="1" applyAlignment="1">
      <alignment horizontal="center"/>
    </xf>
    <xf numFmtId="2" fontId="68" fillId="0" borderId="0" xfId="283" applyNumberFormat="1" applyFont="1" applyFill="1" applyAlignment="1"/>
    <xf numFmtId="0" fontId="68" fillId="0" borderId="0" xfId="283" applyFont="1" applyFill="1" applyAlignment="1">
      <alignment horizontal="center" vertical="center"/>
    </xf>
    <xf numFmtId="2" fontId="68" fillId="0" borderId="0" xfId="283" applyNumberFormat="1" applyFont="1" applyFill="1" applyAlignment="1">
      <alignment horizontal="center"/>
    </xf>
    <xf numFmtId="2" fontId="68" fillId="0" borderId="0" xfId="283" applyNumberFormat="1" applyFont="1" applyFill="1" applyAlignment="1">
      <alignment horizontal="right"/>
    </xf>
    <xf numFmtId="1" fontId="68" fillId="0" borderId="0" xfId="283" applyNumberFormat="1" applyFont="1" applyFill="1" applyAlignment="1">
      <alignment horizontal="right"/>
    </xf>
    <xf numFmtId="1" fontId="68" fillId="0" borderId="0" xfId="283" applyNumberFormat="1" applyFont="1" applyFill="1" applyAlignment="1">
      <alignment horizontal="left"/>
    </xf>
    <xf numFmtId="0" fontId="68" fillId="0" borderId="0" xfId="283" applyFont="1" applyFill="1"/>
    <xf numFmtId="0" fontId="116" fillId="0" borderId="0" xfId="283" applyFont="1" applyFill="1" applyAlignment="1">
      <alignment horizontal="center" vertical="center"/>
    </xf>
    <xf numFmtId="0" fontId="107" fillId="0" borderId="0" xfId="288" applyFont="1" applyFill="1"/>
    <xf numFmtId="0" fontId="68" fillId="0" borderId="0" xfId="283" applyFont="1" applyFill="1" applyBorder="1" applyAlignment="1">
      <alignment horizontal="center" vertical="center"/>
    </xf>
    <xf numFmtId="0" fontId="116" fillId="0" borderId="0" xfId="283" applyFont="1" applyFill="1" applyBorder="1" applyAlignment="1">
      <alignment horizontal="center" vertical="center"/>
    </xf>
    <xf numFmtId="2" fontId="68" fillId="0" borderId="0" xfId="283" applyNumberFormat="1" applyFont="1" applyFill="1" applyBorder="1" applyAlignment="1">
      <alignment horizontal="center" vertical="center"/>
    </xf>
    <xf numFmtId="0" fontId="116" fillId="0" borderId="0" xfId="283" applyFont="1" applyFill="1" applyAlignment="1">
      <alignment horizontal="left" vertical="center"/>
    </xf>
    <xf numFmtId="0" fontId="107" fillId="0" borderId="0" xfId="288" applyFont="1" applyFill="1" applyAlignment="1">
      <alignment horizontal="center" vertical="center"/>
    </xf>
    <xf numFmtId="0" fontId="103" fillId="0" borderId="0" xfId="288" applyFont="1" applyFill="1" applyAlignment="1">
      <alignment horizontal="center"/>
    </xf>
    <xf numFmtId="0" fontId="116" fillId="0" borderId="0" xfId="283" applyFont="1" applyFill="1" applyAlignment="1">
      <alignment vertical="top"/>
    </xf>
    <xf numFmtId="0" fontId="116" fillId="0" borderId="0" xfId="283" applyFont="1" applyFill="1" applyAlignment="1">
      <alignment horizontal="right" vertical="top"/>
    </xf>
    <xf numFmtId="0" fontId="116" fillId="0" borderId="0" xfId="283" applyNumberFormat="1" applyFont="1" applyAlignment="1">
      <alignment horizontal="center" vertical="top"/>
    </xf>
    <xf numFmtId="0" fontId="116" fillId="0" borderId="0" xfId="283" applyNumberFormat="1" applyFont="1" applyAlignment="1">
      <alignment horizontal="right"/>
    </xf>
    <xf numFmtId="0" fontId="116" fillId="0" borderId="0" xfId="283" applyNumberFormat="1" applyFont="1" applyAlignment="1">
      <alignment vertical="top"/>
    </xf>
    <xf numFmtId="0" fontId="69" fillId="0" borderId="0" xfId="283" applyNumberFormat="1" applyFont="1" applyFill="1" applyAlignment="1">
      <alignment horizontal="center"/>
    </xf>
    <xf numFmtId="0" fontId="116" fillId="0" borderId="0" xfId="283" applyNumberFormat="1" applyFont="1" applyAlignment="1">
      <alignment horizontal="right" vertical="top"/>
    </xf>
    <xf numFmtId="0" fontId="116" fillId="0" borderId="0" xfId="283" applyNumberFormat="1" applyFont="1" applyFill="1" applyAlignment="1">
      <alignment horizontal="center" vertical="top"/>
    </xf>
    <xf numFmtId="2" fontId="55" fillId="0" borderId="0" xfId="283" applyNumberFormat="1" applyFont="1" applyFill="1" applyAlignment="1">
      <alignment horizontal="center"/>
    </xf>
    <xf numFmtId="2" fontId="55" fillId="0" borderId="12" xfId="283" applyNumberFormat="1" applyFont="1" applyFill="1" applyBorder="1" applyAlignment="1">
      <alignment horizontal="center"/>
    </xf>
    <xf numFmtId="2" fontId="55" fillId="0" borderId="0" xfId="283" applyNumberFormat="1" applyFont="1" applyFill="1" applyBorder="1" applyAlignment="1">
      <alignment horizontal="center"/>
    </xf>
    <xf numFmtId="1" fontId="54" fillId="0" borderId="0" xfId="283" applyNumberFormat="1" applyFont="1" applyFill="1" applyAlignment="1">
      <alignment horizontal="center"/>
    </xf>
    <xf numFmtId="1" fontId="55" fillId="0" borderId="0" xfId="283" applyNumberFormat="1" applyFont="1" applyFill="1" applyBorder="1" applyAlignment="1">
      <alignment horizontal="center" vertical="center"/>
    </xf>
    <xf numFmtId="1" fontId="55" fillId="0" borderId="23" xfId="283" applyNumberFormat="1" applyFont="1" applyFill="1" applyBorder="1" applyAlignment="1">
      <alignment horizontal="center" vertical="center"/>
    </xf>
    <xf numFmtId="1" fontId="54" fillId="0" borderId="0" xfId="283" applyNumberFormat="1" applyFont="1" applyFill="1" applyBorder="1" applyAlignment="1">
      <alignment horizontal="center"/>
    </xf>
    <xf numFmtId="2" fontId="55" fillId="0" borderId="0" xfId="283" applyNumberFormat="1" applyFont="1" applyFill="1" applyAlignment="1">
      <alignment horizontal="center" vertical="center"/>
    </xf>
    <xf numFmtId="1" fontId="54" fillId="0" borderId="0" xfId="283" applyNumberFormat="1" applyFont="1" applyFill="1" applyAlignment="1">
      <alignment horizontal="center" vertical="center"/>
    </xf>
    <xf numFmtId="0" fontId="48" fillId="79" borderId="0" xfId="0" applyFont="1" applyFill="1" applyBorder="1" applyAlignment="1">
      <alignment vertical="top"/>
    </xf>
    <xf numFmtId="0" fontId="13" fillId="0" borderId="0" xfId="0" applyFont="1" applyBorder="1" applyAlignment="1">
      <alignment horizontal="center" vertical="top"/>
    </xf>
    <xf numFmtId="0" fontId="3" fillId="79" borderId="0" xfId="0" applyFont="1" applyFill="1" applyAlignment="1">
      <alignment horizontal="center" vertical="center"/>
    </xf>
    <xf numFmtId="0" fontId="3" fillId="79" borderId="0" xfId="0" applyFont="1" applyFill="1" applyAlignment="1">
      <alignment horizontal="justify" vertical="top"/>
    </xf>
    <xf numFmtId="0" fontId="3" fillId="0" borderId="0" xfId="0" applyFont="1" applyAlignment="1">
      <alignment horizontal="left"/>
    </xf>
    <xf numFmtId="0" fontId="7" fillId="0" borderId="0" xfId="0" applyFont="1" applyAlignment="1">
      <alignment horizontal="center"/>
    </xf>
    <xf numFmtId="0" fontId="8" fillId="0" borderId="12" xfId="0" applyFont="1" applyBorder="1" applyAlignment="1">
      <alignment horizontal="center"/>
    </xf>
    <xf numFmtId="0" fontId="3" fillId="0" borderId="10" xfId="0" applyFont="1" applyBorder="1" applyAlignment="1">
      <alignment horizontal="center"/>
    </xf>
    <xf numFmtId="0" fontId="8" fillId="0" borderId="0" xfId="0" applyFont="1" applyAlignment="1">
      <alignment horizontal="left"/>
    </xf>
    <xf numFmtId="0" fontId="116" fillId="0" borderId="0" xfId="283" applyNumberFormat="1" applyFont="1" applyAlignment="1">
      <alignment horizontal="center"/>
    </xf>
    <xf numFmtId="0" fontId="68" fillId="0" borderId="0" xfId="283" applyNumberFormat="1" applyFont="1" applyAlignment="1">
      <alignment horizontal="center"/>
    </xf>
    <xf numFmtId="0" fontId="69" fillId="0" borderId="0" xfId="283" applyNumberFormat="1" applyFont="1" applyAlignment="1">
      <alignment horizontal="center"/>
    </xf>
    <xf numFmtId="0" fontId="123" fillId="0" borderId="0" xfId="283" applyNumberFormat="1" applyFont="1" applyAlignment="1">
      <alignment horizontal="center"/>
    </xf>
    <xf numFmtId="0" fontId="116" fillId="0" borderId="0" xfId="283" applyFont="1" applyFill="1" applyAlignment="1">
      <alignment horizontal="center" vertical="center"/>
    </xf>
    <xf numFmtId="0" fontId="116" fillId="0" borderId="0" xfId="283" applyFont="1" applyAlignment="1">
      <alignment horizontal="left"/>
    </xf>
    <xf numFmtId="0" fontId="116" fillId="0" borderId="0" xfId="283" applyFont="1" applyFill="1" applyAlignment="1">
      <alignment horizontal="center"/>
    </xf>
    <xf numFmtId="0" fontId="68" fillId="0" borderId="0" xfId="283" applyNumberFormat="1" applyFont="1" applyAlignment="1">
      <alignment horizontal="center" vertical="center" wrapText="1"/>
    </xf>
    <xf numFmtId="0" fontId="68" fillId="0" borderId="0" xfId="283" applyNumberFormat="1" applyFont="1" applyFill="1" applyAlignment="1">
      <alignment horizontal="center" vertical="center" wrapText="1"/>
    </xf>
    <xf numFmtId="0" fontId="4" fillId="0" borderId="43" xfId="304" applyFont="1" applyBorder="1" applyAlignment="1">
      <alignment horizontal="center" vertical="center"/>
    </xf>
    <xf numFmtId="0" fontId="4" fillId="0" borderId="0" xfId="304" applyFont="1" applyBorder="1" applyAlignment="1">
      <alignment horizontal="center" vertical="center"/>
    </xf>
    <xf numFmtId="0" fontId="4" fillId="0" borderId="23" xfId="304" applyFont="1" applyBorder="1" applyAlignment="1">
      <alignment horizontal="center" vertical="center"/>
    </xf>
    <xf numFmtId="0" fontId="32" fillId="0" borderId="58" xfId="304" applyFont="1" applyBorder="1" applyAlignment="1">
      <alignment horizontal="center" vertical="center" wrapText="1"/>
    </xf>
    <xf numFmtId="0" fontId="32" fillId="0" borderId="59" xfId="304" applyFont="1" applyBorder="1" applyAlignment="1">
      <alignment horizontal="center" vertical="center" wrapText="1"/>
    </xf>
    <xf numFmtId="0" fontId="32" fillId="0" borderId="36" xfId="304" applyFont="1" applyBorder="1" applyAlignment="1">
      <alignment horizontal="center" vertical="center" wrapText="1"/>
    </xf>
    <xf numFmtId="0" fontId="13" fillId="0" borderId="0" xfId="0" applyFont="1" applyFill="1" applyAlignment="1">
      <alignment horizontal="center"/>
    </xf>
    <xf numFmtId="2" fontId="8" fillId="0" borderId="68"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58" xfId="304" applyNumberFormat="1" applyFont="1" applyBorder="1" applyAlignment="1">
      <alignment horizontal="center" vertical="center" wrapText="1"/>
    </xf>
    <xf numFmtId="2" fontId="8" fillId="0" borderId="59" xfId="304" applyNumberFormat="1" applyFont="1" applyBorder="1" applyAlignment="1">
      <alignment horizontal="center" vertical="center" wrapText="1"/>
    </xf>
    <xf numFmtId="2" fontId="8" fillId="0" borderId="69" xfId="304" applyNumberFormat="1" applyFont="1" applyBorder="1" applyAlignment="1">
      <alignment horizontal="center" vertical="center" wrapText="1"/>
    </xf>
    <xf numFmtId="0" fontId="8" fillId="0" borderId="31" xfId="0" applyFont="1" applyBorder="1" applyAlignment="1">
      <alignment horizontal="center" vertical="center"/>
    </xf>
    <xf numFmtId="0" fontId="8" fillId="0" borderId="65" xfId="0" applyFont="1" applyBorder="1" applyAlignment="1">
      <alignment horizontal="center" vertical="center"/>
    </xf>
    <xf numFmtId="0" fontId="13" fillId="0" borderId="59" xfId="0" applyFont="1" applyBorder="1" applyAlignment="1">
      <alignment vertical="center"/>
    </xf>
    <xf numFmtId="0" fontId="13" fillId="0" borderId="36" xfId="0" applyFont="1" applyBorder="1" applyAlignment="1">
      <alignment vertical="center"/>
    </xf>
    <xf numFmtId="0" fontId="43" fillId="0" borderId="0" xfId="304" applyFont="1" applyAlignment="1">
      <alignment horizontal="center"/>
    </xf>
    <xf numFmtId="0" fontId="13" fillId="0" borderId="0" xfId="304" applyFont="1" applyAlignment="1">
      <alignment horizontal="center"/>
    </xf>
    <xf numFmtId="2" fontId="8" fillId="0" borderId="14" xfId="0" applyNumberFormat="1" applyFont="1" applyBorder="1" applyAlignment="1">
      <alignment horizontal="center" vertical="center"/>
    </xf>
    <xf numFmtId="2" fontId="8" fillId="0" borderId="20" xfId="0" applyNumberFormat="1" applyFont="1" applyBorder="1" applyAlignment="1">
      <alignment horizontal="center" vertical="center"/>
    </xf>
    <xf numFmtId="0" fontId="4" fillId="0" borderId="14" xfId="0" applyFont="1" applyFill="1" applyBorder="1" applyAlignment="1">
      <alignment horizontal="left"/>
    </xf>
    <xf numFmtId="0" fontId="8" fillId="0" borderId="47" xfId="304" applyFont="1" applyBorder="1" applyAlignment="1">
      <alignment horizontal="center" vertical="center"/>
    </xf>
    <xf numFmtId="0" fontId="8" fillId="0" borderId="63" xfId="304" applyFont="1" applyBorder="1" applyAlignment="1">
      <alignment horizontal="center" vertical="center"/>
    </xf>
    <xf numFmtId="0" fontId="8" fillId="0" borderId="64" xfId="304" applyFont="1" applyBorder="1" applyAlignment="1">
      <alignment horizontal="center" vertical="center"/>
    </xf>
    <xf numFmtId="2" fontId="46" fillId="0" borderId="106" xfId="304" applyNumberFormat="1" applyFont="1" applyBorder="1" applyAlignment="1">
      <alignment horizontal="center"/>
    </xf>
    <xf numFmtId="2" fontId="46" fillId="0" borderId="107" xfId="304" applyNumberFormat="1" applyFont="1" applyBorder="1" applyAlignment="1">
      <alignment horizontal="center"/>
    </xf>
    <xf numFmtId="0" fontId="8" fillId="0" borderId="0" xfId="304" applyFont="1" applyAlignment="1">
      <alignment horizontal="center"/>
    </xf>
    <xf numFmtId="0" fontId="43" fillId="0" borderId="0" xfId="304" applyFont="1" applyAlignment="1">
      <alignment horizontal="center" vertical="center" wrapText="1"/>
    </xf>
    <xf numFmtId="0" fontId="44" fillId="0" borderId="0" xfId="304" applyFont="1" applyBorder="1" applyAlignment="1">
      <alignment horizontal="center" wrapText="1"/>
    </xf>
    <xf numFmtId="2" fontId="8" fillId="0" borderId="34" xfId="0" applyNumberFormat="1" applyFont="1" applyBorder="1" applyAlignment="1">
      <alignment horizontal="center" vertical="center"/>
    </xf>
    <xf numFmtId="2" fontId="8" fillId="0" borderId="53" xfId="0" applyNumberFormat="1" applyFont="1" applyBorder="1" applyAlignment="1">
      <alignment horizontal="center" vertical="center"/>
    </xf>
    <xf numFmtId="2" fontId="8" fillId="0" borderId="15" xfId="0" applyNumberFormat="1" applyFont="1" applyBorder="1" applyAlignment="1">
      <alignment horizontal="center" vertical="center"/>
    </xf>
    <xf numFmtId="2" fontId="8" fillId="0" borderId="57" xfId="0" applyNumberFormat="1" applyFont="1" applyBorder="1" applyAlignment="1">
      <alignment horizontal="center" vertical="center"/>
    </xf>
    <xf numFmtId="1" fontId="8" fillId="0" borderId="58" xfId="304" applyNumberFormat="1" applyFont="1" applyBorder="1" applyAlignment="1">
      <alignment horizontal="center" vertical="center"/>
    </xf>
    <xf numFmtId="1" fontId="8" fillId="0" borderId="59" xfId="304" applyNumberFormat="1" applyFont="1" applyBorder="1" applyAlignment="1">
      <alignment horizontal="center" vertical="center"/>
    </xf>
    <xf numFmtId="1" fontId="8" fillId="0" borderId="36" xfId="304" applyNumberFormat="1" applyFont="1" applyBorder="1" applyAlignment="1">
      <alignment horizontal="center" vertical="center"/>
    </xf>
    <xf numFmtId="0" fontId="8" fillId="0" borderId="56" xfId="304" applyFont="1" applyBorder="1" applyAlignment="1">
      <alignment horizontal="center" vertical="center"/>
    </xf>
    <xf numFmtId="0" fontId="8" fillId="0" borderId="46" xfId="304" applyFont="1" applyBorder="1" applyAlignment="1">
      <alignment horizontal="center" vertical="center"/>
    </xf>
    <xf numFmtId="0" fontId="8" fillId="0" borderId="49" xfId="304" applyFont="1" applyBorder="1" applyAlignment="1">
      <alignment horizontal="center" vertical="center"/>
    </xf>
    <xf numFmtId="0" fontId="8" fillId="0" borderId="60" xfId="304" applyFont="1" applyBorder="1" applyAlignment="1">
      <alignment horizontal="center" vertical="center"/>
    </xf>
    <xf numFmtId="0" fontId="8" fillId="0" borderId="61" xfId="304" applyFont="1" applyBorder="1" applyAlignment="1">
      <alignment horizontal="center" vertical="center"/>
    </xf>
    <xf numFmtId="0" fontId="8" fillId="0" borderId="62" xfId="304" applyFont="1" applyBorder="1" applyAlignment="1">
      <alignment horizontal="center" vertical="center"/>
    </xf>
    <xf numFmtId="2" fontId="8" fillId="0" borderId="58" xfId="0" applyNumberFormat="1" applyFont="1" applyBorder="1" applyAlignment="1">
      <alignment vertical="center" wrapText="1"/>
    </xf>
    <xf numFmtId="2" fontId="8" fillId="0" borderId="59" xfId="0" applyNumberFormat="1" applyFont="1" applyBorder="1" applyAlignment="1">
      <alignment vertical="center" wrapText="1"/>
    </xf>
    <xf numFmtId="2" fontId="8" fillId="0" borderId="36" xfId="0" applyNumberFormat="1" applyFont="1" applyBorder="1" applyAlignment="1">
      <alignment vertical="center" wrapText="1"/>
    </xf>
    <xf numFmtId="0" fontId="72" fillId="0" borderId="0" xfId="304" applyFont="1" applyAlignment="1">
      <alignment horizontal="center"/>
    </xf>
    <xf numFmtId="0" fontId="46" fillId="0" borderId="0" xfId="304" applyFont="1" applyAlignment="1">
      <alignment horizontal="center"/>
    </xf>
    <xf numFmtId="0" fontId="8" fillId="0" borderId="56" xfId="304" applyFont="1" applyBorder="1" applyAlignment="1">
      <alignment horizontal="center"/>
    </xf>
    <xf numFmtId="0" fontId="8" fillId="0" borderId="43" xfId="304" applyFont="1" applyBorder="1" applyAlignment="1">
      <alignment horizontal="center"/>
    </xf>
    <xf numFmtId="2" fontId="8" fillId="0" borderId="43" xfId="304" applyNumberFormat="1" applyFont="1" applyBorder="1" applyAlignment="1">
      <alignment horizontal="center" vertical="center" wrapText="1"/>
    </xf>
    <xf numFmtId="2" fontId="8" fillId="0" borderId="0" xfId="304" applyNumberFormat="1" applyFont="1" applyBorder="1" applyAlignment="1">
      <alignment horizontal="center" vertical="center" wrapText="1"/>
    </xf>
    <xf numFmtId="2" fontId="8" fillId="0" borderId="12" xfId="304" applyNumberFormat="1" applyFont="1" applyBorder="1" applyAlignment="1">
      <alignment horizontal="center" vertical="center" wrapText="1"/>
    </xf>
    <xf numFmtId="0" fontId="4" fillId="0" borderId="0" xfId="304" applyFont="1" applyAlignment="1">
      <alignment horizontal="right"/>
    </xf>
    <xf numFmtId="0" fontId="44" fillId="0" borderId="0" xfId="0" applyFont="1" applyFill="1" applyAlignment="1">
      <alignment horizontal="center" vertical="center" wrapText="1"/>
    </xf>
    <xf numFmtId="0" fontId="114" fillId="0" borderId="0" xfId="304" applyFont="1" applyAlignment="1">
      <alignment horizontal="center"/>
    </xf>
    <xf numFmtId="0" fontId="4" fillId="0" borderId="66" xfId="304" applyFont="1" applyBorder="1" applyAlignment="1">
      <alignment horizontal="center" vertical="center"/>
    </xf>
    <xf numFmtId="0" fontId="4" fillId="0" borderId="67" xfId="304" applyFont="1" applyBorder="1" applyAlignment="1">
      <alignment horizontal="center" vertical="center"/>
    </xf>
    <xf numFmtId="0" fontId="4" fillId="0" borderId="26" xfId="304" applyFont="1" applyBorder="1" applyAlignment="1">
      <alignment horizontal="center" vertical="center"/>
    </xf>
    <xf numFmtId="0" fontId="4" fillId="0" borderId="58" xfId="304" applyFont="1" applyBorder="1" applyAlignment="1">
      <alignment horizontal="center" vertical="center"/>
    </xf>
    <xf numFmtId="0" fontId="4" fillId="0" borderId="59" xfId="304" applyFont="1" applyBorder="1" applyAlignment="1">
      <alignment horizontal="center" vertical="center"/>
    </xf>
    <xf numFmtId="0" fontId="4" fillId="0" borderId="36" xfId="304" applyFont="1" applyBorder="1" applyAlignment="1">
      <alignment horizontal="center" vertical="center"/>
    </xf>
    <xf numFmtId="0" fontId="32" fillId="0" borderId="0" xfId="304" applyFont="1" applyAlignment="1">
      <alignment horizontal="center"/>
    </xf>
    <xf numFmtId="0" fontId="13" fillId="0" borderId="0" xfId="287" applyFont="1" applyAlignment="1">
      <alignment horizontal="center" vertical="top"/>
    </xf>
    <xf numFmtId="0" fontId="4" fillId="0" borderId="0" xfId="285" applyFont="1" applyBorder="1" applyAlignment="1">
      <alignment horizontal="left"/>
    </xf>
    <xf numFmtId="0" fontId="3" fillId="0" borderId="0" xfId="285" applyFont="1" applyBorder="1" applyAlignment="1">
      <alignment horizontal="center"/>
    </xf>
    <xf numFmtId="0" fontId="93" fillId="0" borderId="0" xfId="285" applyFont="1" applyAlignment="1">
      <alignment horizontal="left" vertical="center" wrapText="1"/>
    </xf>
    <xf numFmtId="0" fontId="93" fillId="0" borderId="0" xfId="285" applyFont="1" applyAlignment="1">
      <alignment horizontal="center" vertical="center" wrapText="1"/>
    </xf>
    <xf numFmtId="0" fontId="31" fillId="0" borderId="0" xfId="285" applyFont="1" applyAlignment="1">
      <alignment horizontal="left" vertical="top" wrapText="1"/>
    </xf>
    <xf numFmtId="0" fontId="31" fillId="0" borderId="17" xfId="283" applyFont="1" applyFill="1" applyBorder="1" applyAlignment="1">
      <alignment horizontal="left" vertical="top" wrapText="1"/>
    </xf>
    <xf numFmtId="0" fontId="31" fillId="0" borderId="21" xfId="283" applyFont="1" applyFill="1" applyBorder="1" applyAlignment="1">
      <alignment horizontal="left" vertical="top" wrapText="1"/>
    </xf>
    <xf numFmtId="0" fontId="109" fillId="0" borderId="0" xfId="283" applyFont="1" applyFill="1" applyAlignment="1">
      <alignment horizontal="center"/>
    </xf>
    <xf numFmtId="0" fontId="31" fillId="0" borderId="0" xfId="283" applyFill="1" applyAlignment="1">
      <alignment horizontal="center"/>
    </xf>
    <xf numFmtId="0" fontId="92" fillId="0" borderId="0" xfId="283" applyFont="1" applyFill="1" applyAlignment="1">
      <alignment horizontal="center"/>
    </xf>
    <xf numFmtId="0" fontId="43" fillId="0" borderId="0" xfId="283" applyFont="1" applyFill="1" applyAlignment="1">
      <alignment horizontal="left" vertical="top" wrapText="1"/>
    </xf>
    <xf numFmtId="0" fontId="90" fillId="0" borderId="70" xfId="283" applyFont="1" applyFill="1" applyBorder="1" applyAlignment="1">
      <alignment horizontal="center" vertical="top"/>
    </xf>
    <xf numFmtId="0" fontId="0" fillId="0" borderId="32" xfId="0" applyFill="1" applyBorder="1"/>
    <xf numFmtId="0" fontId="31" fillId="0" borderId="18" xfId="283" applyFill="1" applyBorder="1" applyAlignment="1">
      <alignment horizontal="center" vertical="top"/>
    </xf>
    <xf numFmtId="0" fontId="31" fillId="0" borderId="34" xfId="283" applyFill="1" applyBorder="1" applyAlignment="1">
      <alignment horizontal="center" vertical="top"/>
    </xf>
    <xf numFmtId="0" fontId="31" fillId="0" borderId="17" xfId="283" applyFill="1" applyBorder="1" applyAlignment="1">
      <alignment horizontal="center" vertical="top"/>
    </xf>
    <xf numFmtId="0" fontId="13" fillId="0" borderId="18" xfId="283" applyFont="1" applyFill="1" applyBorder="1" applyAlignment="1">
      <alignment horizontal="left" vertical="top"/>
    </xf>
    <xf numFmtId="0" fontId="13" fillId="0" borderId="34" xfId="283" applyFont="1" applyFill="1" applyBorder="1" applyAlignment="1">
      <alignment horizontal="left" vertical="top"/>
    </xf>
    <xf numFmtId="0" fontId="13" fillId="0" borderId="17" xfId="283" applyFont="1" applyFill="1" applyBorder="1" applyAlignment="1">
      <alignment horizontal="left" vertical="top"/>
    </xf>
    <xf numFmtId="2" fontId="31" fillId="0" borderId="18" xfId="283" applyNumberFormat="1" applyFill="1" applyBorder="1" applyAlignment="1">
      <alignment horizontal="center" vertical="top"/>
    </xf>
    <xf numFmtId="2" fontId="31" fillId="0" borderId="34" xfId="283" applyNumberFormat="1" applyFill="1" applyBorder="1" applyAlignment="1">
      <alignment horizontal="center" vertical="top"/>
    </xf>
    <xf numFmtId="2" fontId="31" fillId="0" borderId="17" xfId="283" applyNumberFormat="1" applyFill="1" applyBorder="1" applyAlignment="1">
      <alignment horizontal="center" vertical="top"/>
    </xf>
    <xf numFmtId="0" fontId="31" fillId="0" borderId="15" xfId="283" applyFill="1" applyBorder="1" applyAlignment="1">
      <alignment horizontal="left" vertical="top" wrapText="1"/>
    </xf>
    <xf numFmtId="0" fontId="31" fillId="0" borderId="46" xfId="283" applyFill="1" applyBorder="1" applyAlignment="1">
      <alignment horizontal="left" vertical="top"/>
    </xf>
    <xf numFmtId="0" fontId="31" fillId="0" borderId="12" xfId="283" applyFont="1" applyFill="1" applyBorder="1" applyAlignment="1">
      <alignment horizontal="left" vertical="top" wrapText="1"/>
    </xf>
    <xf numFmtId="0" fontId="31" fillId="0" borderId="18" xfId="283" applyFont="1" applyFill="1" applyBorder="1" applyAlignment="1">
      <alignment horizontal="center" vertical="top"/>
    </xf>
    <xf numFmtId="0" fontId="31" fillId="0" borderId="34" xfId="283" applyFont="1" applyFill="1" applyBorder="1" applyAlignment="1">
      <alignment horizontal="center" vertical="top"/>
    </xf>
    <xf numFmtId="0" fontId="13" fillId="0" borderId="18" xfId="283" applyFont="1" applyFill="1" applyBorder="1" applyAlignment="1">
      <alignment horizontal="left" vertical="top" wrapText="1"/>
    </xf>
    <xf numFmtId="0" fontId="13" fillId="0" borderId="34" xfId="0" applyFont="1" applyFill="1" applyBorder="1"/>
    <xf numFmtId="0" fontId="13" fillId="0" borderId="17" xfId="0" applyFont="1" applyFill="1" applyBorder="1"/>
    <xf numFmtId="2" fontId="31" fillId="0" borderId="18" xfId="283" applyNumberFormat="1" applyFont="1" applyFill="1" applyBorder="1" applyAlignment="1">
      <alignment horizontal="center" vertical="top"/>
    </xf>
    <xf numFmtId="0" fontId="0" fillId="0" borderId="34" xfId="0" applyFill="1" applyBorder="1"/>
    <xf numFmtId="0" fontId="0" fillId="0" borderId="17" xfId="0" applyFill="1" applyBorder="1"/>
    <xf numFmtId="0" fontId="31" fillId="0" borderId="15" xfId="283" applyFont="1" applyFill="1" applyBorder="1" applyAlignment="1">
      <alignment horizontal="left" vertical="top" wrapText="1"/>
    </xf>
    <xf numFmtId="0" fontId="31" fillId="0" borderId="46" xfId="283" applyFont="1" applyFill="1" applyBorder="1" applyAlignment="1">
      <alignment horizontal="left" vertical="top" wrapText="1"/>
    </xf>
    <xf numFmtId="0" fontId="31" fillId="0" borderId="18" xfId="283" applyFont="1" applyFill="1" applyBorder="1" applyAlignment="1">
      <alignment horizontal="center" vertical="center"/>
    </xf>
    <xf numFmtId="0" fontId="31" fillId="0" borderId="34" xfId="283" applyFont="1" applyFill="1" applyBorder="1" applyAlignment="1">
      <alignment horizontal="center" vertical="center"/>
    </xf>
    <xf numFmtId="0" fontId="31" fillId="0" borderId="17" xfId="283" applyFont="1" applyFill="1" applyBorder="1" applyAlignment="1">
      <alignment horizontal="center" vertical="center"/>
    </xf>
    <xf numFmtId="0" fontId="31" fillId="0" borderId="15" xfId="283" applyFont="1" applyFill="1" applyBorder="1" applyAlignment="1">
      <alignment horizontal="left" vertical="top"/>
    </xf>
    <xf numFmtId="0" fontId="0" fillId="0" borderId="46" xfId="0" applyFill="1" applyBorder="1"/>
    <xf numFmtId="0" fontId="31" fillId="0" borderId="38" xfId="283" applyFont="1" applyFill="1" applyBorder="1" applyAlignment="1">
      <alignment horizontal="left" vertical="top" wrapText="1"/>
    </xf>
    <xf numFmtId="0" fontId="0" fillId="0" borderId="11" xfId="0" applyFill="1" applyBorder="1"/>
    <xf numFmtId="0" fontId="0" fillId="0" borderId="21" xfId="0" applyFill="1" applyBorder="1"/>
    <xf numFmtId="0" fontId="0" fillId="0" borderId="12" xfId="0" applyFill="1" applyBorder="1"/>
    <xf numFmtId="0" fontId="31" fillId="0" borderId="18" xfId="283" applyFont="1" applyFill="1" applyBorder="1" applyAlignment="1">
      <alignment horizontal="left" vertical="top" wrapText="1"/>
    </xf>
    <xf numFmtId="1" fontId="31" fillId="0" borderId="18" xfId="283" applyNumberFormat="1" applyFont="1" applyFill="1" applyBorder="1" applyAlignment="1">
      <alignment horizontal="center" vertical="top" wrapText="1"/>
    </xf>
    <xf numFmtId="1" fontId="0" fillId="0" borderId="34" xfId="0" applyNumberFormat="1" applyFill="1" applyBorder="1"/>
    <xf numFmtId="1" fontId="0" fillId="0" borderId="17" xfId="0" applyNumberFormat="1" applyFill="1" applyBorder="1"/>
    <xf numFmtId="2" fontId="0" fillId="0" borderId="34" xfId="0" applyNumberFormat="1" applyFill="1" applyBorder="1"/>
    <xf numFmtId="2" fontId="0" fillId="0" borderId="17" xfId="0" applyNumberFormat="1" applyFill="1" applyBorder="1"/>
    <xf numFmtId="0" fontId="110" fillId="0" borderId="18" xfId="283" applyFont="1" applyFill="1" applyBorder="1" applyAlignment="1">
      <alignment horizontal="center" vertical="top" wrapText="1"/>
    </xf>
    <xf numFmtId="0" fontId="110" fillId="0" borderId="34" xfId="283" applyFont="1" applyFill="1" applyBorder="1" applyAlignment="1">
      <alignment horizontal="center" vertical="top" wrapText="1"/>
    </xf>
    <xf numFmtId="0" fontId="110" fillId="0" borderId="17" xfId="283" applyFont="1" applyFill="1" applyBorder="1" applyAlignment="1">
      <alignment horizontal="center" vertical="top" wrapText="1"/>
    </xf>
    <xf numFmtId="2" fontId="96" fillId="0" borderId="18" xfId="283" applyNumberFormat="1" applyFont="1" applyFill="1" applyBorder="1" applyAlignment="1">
      <alignment horizontal="center" vertical="top"/>
    </xf>
    <xf numFmtId="2" fontId="96" fillId="0" borderId="34" xfId="283" applyNumberFormat="1" applyFont="1" applyFill="1" applyBorder="1" applyAlignment="1">
      <alignment horizontal="center" vertical="top"/>
    </xf>
    <xf numFmtId="2" fontId="96" fillId="0" borderId="17" xfId="283" applyNumberFormat="1" applyFont="1" applyFill="1" applyBorder="1" applyAlignment="1">
      <alignment horizontal="center" vertical="top"/>
    </xf>
    <xf numFmtId="0" fontId="96" fillId="0" borderId="18" xfId="283" applyFont="1" applyFill="1" applyBorder="1" applyAlignment="1">
      <alignment horizontal="center" vertical="top"/>
    </xf>
    <xf numFmtId="0" fontId="96" fillId="0" borderId="34" xfId="283" applyFont="1" applyFill="1" applyBorder="1" applyAlignment="1">
      <alignment horizontal="center" vertical="top"/>
    </xf>
    <xf numFmtId="0" fontId="96" fillId="0" borderId="17" xfId="283" applyFont="1" applyFill="1" applyBorder="1" applyAlignment="1">
      <alignment horizontal="center" vertical="top"/>
    </xf>
    <xf numFmtId="0" fontId="96" fillId="0" borderId="15" xfId="283" applyFont="1" applyFill="1" applyBorder="1" applyAlignment="1">
      <alignment horizontal="left" vertical="top"/>
    </xf>
    <xf numFmtId="0" fontId="96" fillId="0" borderId="46" xfId="283" applyFont="1" applyFill="1" applyBorder="1" applyAlignment="1">
      <alignment horizontal="left" vertical="top"/>
    </xf>
    <xf numFmtId="0" fontId="13" fillId="0" borderId="0" xfId="0" applyFont="1" applyBorder="1" applyAlignment="1">
      <alignment horizontal="center"/>
    </xf>
    <xf numFmtId="0" fontId="100" fillId="0" borderId="0" xfId="0" applyFont="1" applyBorder="1" applyAlignment="1">
      <alignment horizontal="center"/>
    </xf>
    <xf numFmtId="0" fontId="31" fillId="0" borderId="14" xfId="283" applyFill="1" applyBorder="1" applyAlignment="1">
      <alignment horizontal="left" vertical="top" wrapText="1"/>
    </xf>
    <xf numFmtId="0" fontId="31" fillId="0" borderId="46" xfId="283" applyFont="1" applyFill="1" applyBorder="1" applyAlignment="1">
      <alignment horizontal="left" vertical="top"/>
    </xf>
    <xf numFmtId="0" fontId="31" fillId="0" borderId="15" xfId="283" applyFill="1" applyBorder="1" applyAlignment="1">
      <alignment horizontal="center"/>
    </xf>
    <xf numFmtId="0" fontId="31" fillId="0" borderId="46" xfId="283" applyFill="1" applyBorder="1" applyAlignment="1">
      <alignment horizontal="center"/>
    </xf>
    <xf numFmtId="0" fontId="31" fillId="0" borderId="18" xfId="283" applyFill="1" applyBorder="1" applyAlignment="1">
      <alignment horizontal="center" vertical="top" wrapText="1"/>
    </xf>
    <xf numFmtId="0" fontId="31" fillId="0" borderId="34" xfId="283" applyFill="1" applyBorder="1" applyAlignment="1">
      <alignment horizontal="center" vertical="top" wrapText="1"/>
    </xf>
    <xf numFmtId="0" fontId="31" fillId="0" borderId="17" xfId="283" applyFill="1" applyBorder="1" applyAlignment="1">
      <alignment horizontal="center" vertical="top" wrapText="1"/>
    </xf>
    <xf numFmtId="0" fontId="13" fillId="0" borderId="18" xfId="283" applyFont="1" applyFill="1" applyBorder="1" applyAlignment="1">
      <alignment horizontal="center" vertical="top" wrapText="1"/>
    </xf>
    <xf numFmtId="0" fontId="13" fillId="0" borderId="34" xfId="283" applyFont="1" applyFill="1" applyBorder="1" applyAlignment="1">
      <alignment horizontal="center" vertical="top" wrapText="1"/>
    </xf>
    <xf numFmtId="0" fontId="13" fillId="0" borderId="0" xfId="0" applyFont="1" applyBorder="1" applyAlignment="1">
      <alignment horizontal="center" vertical="top"/>
    </xf>
    <xf numFmtId="0" fontId="13" fillId="0" borderId="0" xfId="0" applyFont="1" applyAlignment="1">
      <alignment horizontal="center" vertical="top" wrapText="1"/>
    </xf>
    <xf numFmtId="0" fontId="121" fillId="0" borderId="0" xfId="0" applyFont="1" applyAlignment="1">
      <alignment horizontal="center"/>
    </xf>
    <xf numFmtId="0" fontId="13" fillId="0" borderId="66"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58" xfId="0" applyFont="1" applyBorder="1" applyAlignment="1">
      <alignment horizontal="center" vertical="center"/>
    </xf>
    <xf numFmtId="0" fontId="13" fillId="0" borderId="36" xfId="0" applyFont="1" applyBorder="1" applyAlignment="1">
      <alignment horizontal="center" vertical="center"/>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52" xfId="0" applyFont="1" applyBorder="1" applyAlignment="1">
      <alignment horizontal="center" vertical="center"/>
    </xf>
    <xf numFmtId="0" fontId="13" fillId="0" borderId="57" xfId="0" applyFont="1" applyBorder="1" applyAlignment="1">
      <alignment horizontal="center" vertical="center"/>
    </xf>
    <xf numFmtId="0" fontId="13" fillId="0" borderId="32" xfId="0" applyFont="1" applyBorder="1" applyAlignment="1">
      <alignment horizontal="center" vertical="center" wrapText="1"/>
    </xf>
    <xf numFmtId="0" fontId="122" fillId="0" borderId="66" xfId="0" applyFont="1" applyBorder="1" applyAlignment="1">
      <alignment horizontal="center" vertical="center" wrapText="1"/>
    </xf>
    <xf numFmtId="0" fontId="122" fillId="0" borderId="71" xfId="0" applyFont="1" applyBorder="1" applyAlignment="1">
      <alignment horizontal="center" vertical="center" wrapText="1"/>
    </xf>
    <xf numFmtId="0" fontId="2" fillId="0" borderId="21" xfId="0" applyFont="1" applyBorder="1" applyAlignment="1">
      <alignment horizontal="center"/>
    </xf>
    <xf numFmtId="0" fontId="2" fillId="0" borderId="22" xfId="0" applyFont="1" applyBorder="1" applyAlignment="1">
      <alignment horizontal="center"/>
    </xf>
    <xf numFmtId="2" fontId="2" fillId="0" borderId="15" xfId="0" applyNumberFormat="1" applyFont="1" applyBorder="1" applyAlignment="1">
      <alignment horizontal="center"/>
    </xf>
    <xf numFmtId="2" fontId="2" fillId="0" borderId="35" xfId="0" applyNumberFormat="1" applyFont="1" applyBorder="1" applyAlignment="1">
      <alignment horizontal="center"/>
    </xf>
    <xf numFmtId="0" fontId="13" fillId="0" borderId="65" xfId="0" applyFont="1" applyBorder="1" applyAlignment="1">
      <alignment horizontal="center"/>
    </xf>
    <xf numFmtId="0" fontId="13" fillId="0" borderId="68" xfId="0" applyFont="1" applyBorder="1" applyAlignment="1">
      <alignment horizontal="center"/>
    </xf>
    <xf numFmtId="0" fontId="2" fillId="0" borderId="0" xfId="0" applyFont="1" applyBorder="1" applyAlignment="1">
      <alignment horizontal="center"/>
    </xf>
    <xf numFmtId="0" fontId="120" fillId="0" borderId="0" xfId="0" applyFont="1" applyAlignment="1">
      <alignment horizontal="center" vertical="top"/>
    </xf>
    <xf numFmtId="2" fontId="2" fillId="0" borderId="29" xfId="0" applyNumberFormat="1" applyFont="1" applyBorder="1" applyAlignment="1">
      <alignment horizontal="center" vertical="center"/>
    </xf>
    <xf numFmtId="2" fontId="2" fillId="0" borderId="30" xfId="0" applyNumberFormat="1" applyFont="1" applyBorder="1" applyAlignment="1">
      <alignment horizontal="center" vertical="center"/>
    </xf>
    <xf numFmtId="2" fontId="13" fillId="0" borderId="23" xfId="0" applyNumberFormat="1" applyFont="1" applyFill="1" applyBorder="1" applyAlignment="1">
      <alignment horizontal="center"/>
    </xf>
    <xf numFmtId="0" fontId="13" fillId="0" borderId="66" xfId="321" applyFont="1" applyBorder="1" applyAlignment="1">
      <alignment horizontal="center" vertical="center"/>
    </xf>
    <xf numFmtId="0" fontId="13" fillId="0" borderId="43" xfId="321" applyFont="1" applyBorder="1" applyAlignment="1">
      <alignment horizontal="center" vertical="center"/>
    </xf>
    <xf numFmtId="0" fontId="13" fillId="0" borderId="71" xfId="321" applyFont="1" applyBorder="1" applyAlignment="1">
      <alignment horizontal="center" vertical="center"/>
    </xf>
    <xf numFmtId="0" fontId="13" fillId="0" borderId="26" xfId="321" applyFont="1" applyBorder="1" applyAlignment="1">
      <alignment horizontal="center" vertical="center"/>
    </xf>
    <xf numFmtId="0" fontId="13" fillId="0" borderId="23" xfId="321" applyFont="1" applyBorder="1" applyAlignment="1">
      <alignment horizontal="center" vertical="center"/>
    </xf>
    <xf numFmtId="0" fontId="13" fillId="0" borderId="27" xfId="321" applyFont="1" applyBorder="1" applyAlignment="1">
      <alignment horizontal="center" vertical="center"/>
    </xf>
    <xf numFmtId="0" fontId="13" fillId="0" borderId="72" xfId="321" applyFont="1" applyBorder="1" applyAlignment="1">
      <alignment horizontal="left" vertical="top" wrapText="1"/>
    </xf>
    <xf numFmtId="0" fontId="13" fillId="0" borderId="43" xfId="321" applyFont="1" applyBorder="1" applyAlignment="1">
      <alignment horizontal="left" vertical="top" wrapText="1"/>
    </xf>
    <xf numFmtId="0" fontId="13" fillId="0" borderId="73" xfId="321" applyFont="1" applyBorder="1" applyAlignment="1">
      <alignment horizontal="left" vertical="top" wrapText="1"/>
    </xf>
    <xf numFmtId="0" fontId="13" fillId="0" borderId="19" xfId="321" applyFont="1" applyBorder="1" applyAlignment="1">
      <alignment horizontal="left" vertical="top" wrapText="1"/>
    </xf>
    <xf numFmtId="0" fontId="13" fillId="0" borderId="0" xfId="321" applyFont="1" applyBorder="1" applyAlignment="1">
      <alignment horizontal="left" vertical="top" wrapText="1"/>
    </xf>
    <xf numFmtId="0" fontId="13" fillId="0" borderId="33" xfId="321" applyFont="1" applyBorder="1" applyAlignment="1">
      <alignment horizontal="left" vertical="top" wrapText="1"/>
    </xf>
    <xf numFmtId="0" fontId="13" fillId="0" borderId="38" xfId="321" applyFont="1" applyBorder="1" applyAlignment="1">
      <alignment horizontal="left" vertical="top" wrapText="1"/>
    </xf>
    <xf numFmtId="0" fontId="13" fillId="0" borderId="11" xfId="321" applyFont="1" applyBorder="1" applyAlignment="1">
      <alignment horizontal="left" vertical="top" wrapText="1"/>
    </xf>
    <xf numFmtId="0" fontId="13" fillId="0" borderId="74" xfId="321" applyFont="1" applyBorder="1" applyAlignment="1">
      <alignment horizontal="left" vertical="top" wrapText="1"/>
    </xf>
    <xf numFmtId="0" fontId="13" fillId="0" borderId="21" xfId="321" applyFont="1" applyBorder="1" applyAlignment="1">
      <alignment horizontal="left" vertical="top" wrapText="1"/>
    </xf>
    <xf numFmtId="0" fontId="13" fillId="0" borderId="12" xfId="321" applyFont="1" applyBorder="1" applyAlignment="1">
      <alignment horizontal="left" vertical="top" wrapText="1"/>
    </xf>
    <xf numFmtId="0" fontId="13" fillId="0" borderId="22" xfId="321" applyFont="1" applyBorder="1" applyAlignment="1">
      <alignment horizontal="left" vertical="top" wrapText="1"/>
    </xf>
    <xf numFmtId="2" fontId="13" fillId="0" borderId="17" xfId="0" applyNumberFormat="1" applyFont="1" applyBorder="1" applyAlignment="1">
      <alignment horizontal="center"/>
    </xf>
    <xf numFmtId="0" fontId="2" fillId="0" borderId="0" xfId="0" applyFont="1" applyAlignment="1">
      <alignment horizontal="center"/>
    </xf>
    <xf numFmtId="0" fontId="117" fillId="0" borderId="0" xfId="0" applyFont="1" applyAlignment="1">
      <alignment horizontal="center"/>
    </xf>
    <xf numFmtId="0" fontId="3" fillId="0" borderId="14" xfId="0" applyFont="1" applyBorder="1" applyAlignment="1">
      <alignment horizontal="center" vertical="center" wrapText="1"/>
    </xf>
    <xf numFmtId="0" fontId="3" fillId="0" borderId="0" xfId="0" applyFont="1" applyBorder="1" applyAlignment="1">
      <alignment horizontal="justify" vertical="top" wrapText="1"/>
    </xf>
    <xf numFmtId="0" fontId="3" fillId="0" borderId="0" xfId="0" applyFont="1" applyBorder="1" applyAlignment="1">
      <alignment horizontal="justify" vertical="top"/>
    </xf>
    <xf numFmtId="0" fontId="3" fillId="0" borderId="0" xfId="0" applyFont="1" applyAlignment="1">
      <alignment horizontal="center"/>
    </xf>
    <xf numFmtId="0" fontId="3" fillId="0" borderId="0" xfId="0" applyFont="1" applyAlignment="1">
      <alignment horizontal="justify" vertical="top" wrapText="1"/>
    </xf>
    <xf numFmtId="0" fontId="3" fillId="0" borderId="0" xfId="0" applyFont="1" applyAlignment="1">
      <alignment horizontal="justify" vertical="top"/>
    </xf>
    <xf numFmtId="0" fontId="3" fillId="79" borderId="0" xfId="0" applyFont="1" applyFill="1" applyAlignment="1">
      <alignment horizontal="justify" vertical="top" wrapText="1" readingOrder="1"/>
    </xf>
    <xf numFmtId="0" fontId="3" fillId="79" borderId="0" xfId="0" applyFont="1" applyFill="1" applyAlignment="1">
      <alignment horizontal="justify" vertical="top" readingOrder="1"/>
    </xf>
    <xf numFmtId="0" fontId="2" fillId="79" borderId="0" xfId="0" applyFont="1" applyFill="1" applyAlignment="1"/>
    <xf numFmtId="0" fontId="3" fillId="0" borderId="0" xfId="0" applyFont="1" applyAlignment="1">
      <alignment horizontal="left" vertical="top" wrapText="1"/>
    </xf>
    <xf numFmtId="0" fontId="6" fillId="0" borderId="11" xfId="0" applyFont="1" applyBorder="1" applyAlignment="1">
      <alignment horizontal="left" vertical="top" wrapText="1"/>
    </xf>
    <xf numFmtId="0" fontId="3" fillId="0" borderId="0" xfId="0" applyFont="1" applyAlignment="1">
      <alignment horizontal="justify" vertical="top" wrapText="1" readingOrder="1"/>
    </xf>
    <xf numFmtId="0" fontId="3" fillId="0" borderId="0" xfId="0" applyFont="1" applyAlignment="1">
      <alignment horizontal="justify" vertical="top" readingOrder="1"/>
    </xf>
    <xf numFmtId="0" fontId="2" fillId="0" borderId="0" xfId="0" applyFont="1" applyAlignment="1"/>
    <xf numFmtId="0" fontId="3" fillId="0" borderId="0" xfId="0" applyFont="1" applyFill="1" applyAlignment="1">
      <alignment horizontal="justify" vertical="top"/>
    </xf>
    <xf numFmtId="0" fontId="3" fillId="0" borderId="0" xfId="0" applyFont="1" applyFill="1" applyAlignment="1">
      <alignment horizontal="justify" vertical="top" wrapText="1"/>
    </xf>
    <xf numFmtId="0" fontId="3" fillId="79" borderId="0" xfId="0" applyFont="1" applyFill="1" applyAlignment="1">
      <alignment horizontal="justify" vertical="top"/>
    </xf>
    <xf numFmtId="0" fontId="3" fillId="0" borderId="0" xfId="0" applyFont="1" applyAlignment="1">
      <alignment horizontal="left" vertical="top"/>
    </xf>
    <xf numFmtId="0" fontId="3" fillId="0" borderId="0" xfId="0" applyFont="1" applyBorder="1" applyAlignment="1">
      <alignment horizontal="left" vertical="top" wrapText="1"/>
    </xf>
    <xf numFmtId="0" fontId="99" fillId="0" borderId="14" xfId="304" applyFont="1" applyFill="1" applyBorder="1" applyAlignment="1">
      <alignment horizontal="center" vertical="top" wrapText="1"/>
    </xf>
    <xf numFmtId="0" fontId="47" fillId="0" borderId="0" xfId="292" applyFont="1" applyFill="1" applyAlignment="1">
      <alignment horizontal="center" wrapText="1"/>
    </xf>
    <xf numFmtId="0" fontId="49" fillId="0" borderId="0" xfId="292" applyFont="1" applyFill="1" applyAlignment="1">
      <alignment horizontal="center" wrapText="1"/>
    </xf>
    <xf numFmtId="0" fontId="62" fillId="0" borderId="0" xfId="292" applyFont="1" applyFill="1" applyAlignment="1">
      <alignment horizontal="center" vertical="center" wrapText="1"/>
    </xf>
    <xf numFmtId="0" fontId="66" fillId="0" borderId="0" xfId="292" applyFont="1" applyFill="1" applyAlignment="1">
      <alignment horizontal="center" wrapText="1"/>
    </xf>
    <xf numFmtId="0" fontId="67" fillId="0" borderId="0" xfId="292" applyFont="1" applyFill="1" applyAlignment="1">
      <alignment horizontal="center" wrapText="1"/>
    </xf>
    <xf numFmtId="0" fontId="54" fillId="0" borderId="0" xfId="292" applyFont="1" applyFill="1" applyAlignment="1">
      <alignment horizontal="center" wrapText="1"/>
    </xf>
    <xf numFmtId="0" fontId="54" fillId="0" borderId="105" xfId="288" applyFont="1" applyFill="1" applyBorder="1" applyAlignment="1">
      <alignment horizontal="right" vertical="top" wrapText="1"/>
    </xf>
    <xf numFmtId="0" fontId="54" fillId="0" borderId="41" xfId="288" applyFont="1" applyFill="1" applyBorder="1" applyAlignment="1">
      <alignment horizontal="right" vertical="top" wrapText="1"/>
    </xf>
    <xf numFmtId="0" fontId="54" fillId="0" borderId="86" xfId="304" applyFont="1" applyBorder="1" applyAlignment="1">
      <alignment horizontal="center" vertical="top" wrapText="1"/>
    </xf>
    <xf numFmtId="0" fontId="47" fillId="0" borderId="0" xfId="304" applyFont="1" applyAlignment="1">
      <alignment horizontal="center" vertical="top"/>
    </xf>
    <xf numFmtId="0" fontId="49" fillId="0" borderId="0" xfId="304" applyFont="1" applyAlignment="1">
      <alignment horizontal="center" vertical="top"/>
    </xf>
    <xf numFmtId="0" fontId="50" fillId="0" borderId="0" xfId="292" applyFont="1" applyAlignment="1">
      <alignment horizontal="center" vertical="top" wrapText="1"/>
    </xf>
    <xf numFmtId="0" fontId="51" fillId="0" borderId="0" xfId="304" applyFont="1" applyAlignment="1">
      <alignment horizontal="center" vertical="top"/>
    </xf>
    <xf numFmtId="0" fontId="52" fillId="0" borderId="0" xfId="304" applyFont="1" applyAlignment="1">
      <alignment horizontal="center" vertical="top"/>
    </xf>
    <xf numFmtId="0" fontId="53" fillId="0" borderId="0" xfId="304" applyFont="1" applyAlignment="1">
      <alignment horizontal="center" vertical="top" wrapText="1"/>
    </xf>
    <xf numFmtId="0" fontId="54" fillId="0" borderId="15" xfId="304" applyFont="1" applyBorder="1" applyAlignment="1">
      <alignment horizontal="center" vertical="center" wrapText="1"/>
    </xf>
    <xf numFmtId="0" fontId="54" fillId="0" borderId="74" xfId="304" applyFont="1" applyBorder="1" applyAlignment="1">
      <alignment horizontal="center" vertical="center" wrapText="1"/>
    </xf>
    <xf numFmtId="0" fontId="54" fillId="0" borderId="22" xfId="304" applyFont="1" applyBorder="1" applyAlignment="1">
      <alignment horizontal="center" vertical="center" wrapText="1"/>
    </xf>
    <xf numFmtId="0" fontId="54" fillId="0" borderId="15" xfId="304" applyFont="1" applyBorder="1" applyAlignment="1">
      <alignment horizontal="justify" vertical="top" wrapText="1"/>
    </xf>
    <xf numFmtId="0" fontId="54" fillId="0" borderId="35" xfId="304" applyFont="1" applyBorder="1" applyAlignment="1">
      <alignment horizontal="justify" vertical="top" wrapText="1"/>
    </xf>
    <xf numFmtId="0" fontId="54" fillId="0" borderId="0" xfId="297" applyFont="1" applyAlignment="1">
      <alignment horizontal="left" vertical="top" wrapText="1"/>
    </xf>
    <xf numFmtId="0" fontId="101" fillId="0" borderId="0" xfId="315" applyNumberFormat="1" applyFont="1" applyBorder="1" applyAlignment="1">
      <alignment horizontal="justify" vertical="top" wrapText="1"/>
    </xf>
    <xf numFmtId="0" fontId="100" fillId="0" borderId="0" xfId="315" applyFont="1" applyAlignment="1">
      <alignment horizontal="center"/>
    </xf>
    <xf numFmtId="0" fontId="100" fillId="0" borderId="0" xfId="315" applyFont="1" applyAlignment="1">
      <alignment horizontal="center" vertical="top"/>
    </xf>
    <xf numFmtId="0" fontId="50" fillId="0" borderId="0" xfId="292" applyFont="1" applyAlignment="1">
      <alignment horizontal="center" vertical="center" wrapText="1"/>
    </xf>
    <xf numFmtId="0" fontId="58" fillId="0" borderId="0" xfId="297" applyFont="1" applyAlignment="1">
      <alignment horizontal="center"/>
    </xf>
    <xf numFmtId="0" fontId="59" fillId="0" borderId="0" xfId="297" applyFont="1" applyAlignment="1">
      <alignment horizontal="center"/>
    </xf>
    <xf numFmtId="0" fontId="8" fillId="0" borderId="0" xfId="0" applyFont="1" applyAlignment="1">
      <alignment horizontal="center" vertical="center" wrapText="1"/>
    </xf>
    <xf numFmtId="0" fontId="103" fillId="0" borderId="0" xfId="283" applyNumberFormat="1" applyFont="1" applyAlignment="1">
      <alignment horizontal="center"/>
    </xf>
  </cellXfs>
  <cellStyles count="402">
    <cellStyle name="??" xfId="1"/>
    <cellStyle name="?? [0.00]_laroux" xfId="2"/>
    <cellStyle name="???? [0.00]_laroux" xfId="3"/>
    <cellStyle name="????_laroux" xfId="4"/>
    <cellStyle name="??_??" xfId="5"/>
    <cellStyle name="_Absrtact" xfId="6"/>
    <cellStyle name="_Basement1" xfId="7"/>
    <cellStyle name="_IP Ware house &amp; Lowbay" xfId="8"/>
    <cellStyle name="_RW-FW TANK FINAL MB" xfId="9"/>
    <cellStyle name="_Ste.&amp; Steel Xsl." xfId="10"/>
    <cellStyle name="_Warehouse &amp; Lobey-Final" xfId="11"/>
    <cellStyle name="_WTP-Measurement-19.08" xfId="12"/>
    <cellStyle name="•W_Electrical" xfId="13"/>
    <cellStyle name="20% - Accent1" xfId="14" builtinId="30" customBuiltin="1"/>
    <cellStyle name="20% - Accent1 2" xfId="15"/>
    <cellStyle name="20% - Accent1 2 2" xfId="16"/>
    <cellStyle name="20% - Accent1 2 2 2" xfId="17"/>
    <cellStyle name="20% - Accent1 2 2 3" xfId="18"/>
    <cellStyle name="20% - Accent1 2 3" xfId="19"/>
    <cellStyle name="20% - Accent1 2 4" xfId="20"/>
    <cellStyle name="20% - Accent1 2 5" xfId="21"/>
    <cellStyle name="20% - Accent2" xfId="22" builtinId="34" customBuiltin="1"/>
    <cellStyle name="20% - Accent2 2" xfId="23"/>
    <cellStyle name="20% - Accent2 2 2" xfId="24"/>
    <cellStyle name="20% - Accent2 2 2 2" xfId="25"/>
    <cellStyle name="20% - Accent2 2 2 3" xfId="26"/>
    <cellStyle name="20% - Accent2 2 3" xfId="27"/>
    <cellStyle name="20% - Accent2 2 4" xfId="28"/>
    <cellStyle name="20% - Accent2 2 5" xfId="29"/>
    <cellStyle name="20% - Accent3" xfId="30" builtinId="38" customBuiltin="1"/>
    <cellStyle name="20% - Accent3 2" xfId="31"/>
    <cellStyle name="20% - Accent3 2 2" xfId="32"/>
    <cellStyle name="20% - Accent3 2 2 2" xfId="33"/>
    <cellStyle name="20% - Accent3 2 2 3" xfId="34"/>
    <cellStyle name="20% - Accent3 2 3" xfId="35"/>
    <cellStyle name="20% - Accent3 2 4" xfId="36"/>
    <cellStyle name="20% - Accent3 2 5" xfId="37"/>
    <cellStyle name="20% - Accent4" xfId="38" builtinId="42" customBuiltin="1"/>
    <cellStyle name="20% - Accent4 2" xfId="39"/>
    <cellStyle name="20% - Accent4 2 2" xfId="40"/>
    <cellStyle name="20% - Accent4 2 2 2" xfId="41"/>
    <cellStyle name="20% - Accent4 2 2 3" xfId="42"/>
    <cellStyle name="20% - Accent4 2 3" xfId="43"/>
    <cellStyle name="20% - Accent4 2 4" xfId="44"/>
    <cellStyle name="20% - Accent4 2 5" xfId="45"/>
    <cellStyle name="20% - Accent5" xfId="46" builtinId="46" customBuiltin="1"/>
    <cellStyle name="20% - Accent5 2" xfId="47"/>
    <cellStyle name="20% - Accent5 2 2" xfId="48"/>
    <cellStyle name="20% - Accent5 2 2 2" xfId="49"/>
    <cellStyle name="20% - Accent5 2 2 3" xfId="50"/>
    <cellStyle name="20% - Accent5 2 3" xfId="51"/>
    <cellStyle name="20% - Accent5 2 4" xfId="52"/>
    <cellStyle name="20% - Accent5 2 5" xfId="53"/>
    <cellStyle name="20% - Accent6" xfId="54" builtinId="50" customBuiltin="1"/>
    <cellStyle name="20% - Accent6 2" xfId="55"/>
    <cellStyle name="20% - Accent6 2 2" xfId="56"/>
    <cellStyle name="20% - Accent6 2 2 2" xfId="57"/>
    <cellStyle name="20% - Accent6 2 2 3" xfId="58"/>
    <cellStyle name="20% - Accent6 2 3" xfId="59"/>
    <cellStyle name="20% - Accent6 2 4" xfId="60"/>
    <cellStyle name="20% - Accent6 2 5" xfId="61"/>
    <cellStyle name="40% - Accent1" xfId="62" builtinId="31" customBuiltin="1"/>
    <cellStyle name="40% - Accent1 2" xfId="63"/>
    <cellStyle name="40% - Accent1 2 2" xfId="64"/>
    <cellStyle name="40% - Accent1 2 2 2" xfId="65"/>
    <cellStyle name="40% - Accent1 2 2 3" xfId="66"/>
    <cellStyle name="40% - Accent1 2 3" xfId="67"/>
    <cellStyle name="40% - Accent1 2 4" xfId="68"/>
    <cellStyle name="40% - Accent1 2 5" xfId="69"/>
    <cellStyle name="40% - Accent2" xfId="70" builtinId="35" customBuiltin="1"/>
    <cellStyle name="40% - Accent2 2" xfId="71"/>
    <cellStyle name="40% - Accent2 2 2" xfId="72"/>
    <cellStyle name="40% - Accent2 2 2 2" xfId="73"/>
    <cellStyle name="40% - Accent2 2 2 3" xfId="74"/>
    <cellStyle name="40% - Accent2 2 3" xfId="75"/>
    <cellStyle name="40% - Accent2 2 4" xfId="76"/>
    <cellStyle name="40% - Accent2 2 5" xfId="77"/>
    <cellStyle name="40% - Accent3" xfId="78" builtinId="39" customBuiltin="1"/>
    <cellStyle name="40% - Accent3 2" xfId="79"/>
    <cellStyle name="40% - Accent3 2 2" xfId="80"/>
    <cellStyle name="40% - Accent3 2 2 2" xfId="81"/>
    <cellStyle name="40% - Accent3 2 2 3" xfId="82"/>
    <cellStyle name="40% - Accent3 2 3" xfId="83"/>
    <cellStyle name="40% - Accent3 2 4" xfId="84"/>
    <cellStyle name="40% - Accent3 2 5" xfId="85"/>
    <cellStyle name="40% - Accent4" xfId="86" builtinId="43" customBuiltin="1"/>
    <cellStyle name="40% - Accent4 2" xfId="87"/>
    <cellStyle name="40% - Accent4 2 2" xfId="88"/>
    <cellStyle name="40% - Accent4 2 2 2" xfId="89"/>
    <cellStyle name="40% - Accent4 2 2 3" xfId="90"/>
    <cellStyle name="40% - Accent4 2 3" xfId="91"/>
    <cellStyle name="40% - Accent4 2 4" xfId="92"/>
    <cellStyle name="40% - Accent4 2 5" xfId="93"/>
    <cellStyle name="40% - Accent5" xfId="94" builtinId="47" customBuiltin="1"/>
    <cellStyle name="40% - Accent5 2" xfId="95"/>
    <cellStyle name="40% - Accent5 2 2" xfId="96"/>
    <cellStyle name="40% - Accent5 2 2 2" xfId="97"/>
    <cellStyle name="40% - Accent5 2 2 3" xfId="98"/>
    <cellStyle name="40% - Accent5 2 3" xfId="99"/>
    <cellStyle name="40% - Accent5 2 4" xfId="100"/>
    <cellStyle name="40% - Accent5 2 5" xfId="101"/>
    <cellStyle name="40% - Accent6" xfId="102" builtinId="51" customBuiltin="1"/>
    <cellStyle name="40% - Accent6 2" xfId="103"/>
    <cellStyle name="40% - Accent6 2 2" xfId="104"/>
    <cellStyle name="40% - Accent6 2 2 2" xfId="105"/>
    <cellStyle name="40% - Accent6 2 2 3" xfId="106"/>
    <cellStyle name="40% - Accent6 2 3" xfId="107"/>
    <cellStyle name="40% - Accent6 2 4" xfId="108"/>
    <cellStyle name="40% - Accent6 2 5" xfId="109"/>
    <cellStyle name="60% - Accent1" xfId="110" builtinId="32" customBuiltin="1"/>
    <cellStyle name="60% - Accent1 2" xfId="111"/>
    <cellStyle name="60% - Accent1 2 2" xfId="112"/>
    <cellStyle name="60% - Accent1 2 2 2" xfId="113"/>
    <cellStyle name="60% - Accent1 2 2 3" xfId="114"/>
    <cellStyle name="60% - Accent1 2 3" xfId="115"/>
    <cellStyle name="60% - Accent1 2 4" xfId="116"/>
    <cellStyle name="60% - Accent1 2 5" xfId="117"/>
    <cellStyle name="60% - Accent2" xfId="118" builtinId="36" customBuiltin="1"/>
    <cellStyle name="60% - Accent2 2" xfId="119"/>
    <cellStyle name="60% - Accent2 2 2" xfId="120"/>
    <cellStyle name="60% - Accent2 2 2 2" xfId="121"/>
    <cellStyle name="60% - Accent2 2 2 3" xfId="122"/>
    <cellStyle name="60% - Accent2 2 3" xfId="123"/>
    <cellStyle name="60% - Accent2 2 4" xfId="124"/>
    <cellStyle name="60% - Accent2 2 5" xfId="125"/>
    <cellStyle name="60% - Accent3" xfId="126" builtinId="40" customBuiltin="1"/>
    <cellStyle name="60% - Accent3 2" xfId="127"/>
    <cellStyle name="60% - Accent3 2 2" xfId="128"/>
    <cellStyle name="60% - Accent3 2 2 2" xfId="129"/>
    <cellStyle name="60% - Accent3 2 2 3" xfId="130"/>
    <cellStyle name="60% - Accent3 2 3" xfId="131"/>
    <cellStyle name="60% - Accent3 2 4" xfId="132"/>
    <cellStyle name="60% - Accent3 2 5" xfId="133"/>
    <cellStyle name="60% - Accent4" xfId="134" builtinId="44" customBuiltin="1"/>
    <cellStyle name="60% - Accent4 2" xfId="135"/>
    <cellStyle name="60% - Accent4 2 2" xfId="136"/>
    <cellStyle name="60% - Accent4 2 2 2" xfId="137"/>
    <cellStyle name="60% - Accent4 2 2 3" xfId="138"/>
    <cellStyle name="60% - Accent4 2 3" xfId="139"/>
    <cellStyle name="60% - Accent4 2 4" xfId="140"/>
    <cellStyle name="60% - Accent4 2 5" xfId="141"/>
    <cellStyle name="60% - Accent5" xfId="142" builtinId="48" customBuiltin="1"/>
    <cellStyle name="60% - Accent5 2" xfId="143"/>
    <cellStyle name="60% - Accent5 2 2" xfId="144"/>
    <cellStyle name="60% - Accent5 2 2 2" xfId="145"/>
    <cellStyle name="60% - Accent5 2 2 3" xfId="146"/>
    <cellStyle name="60% - Accent5 2 3" xfId="147"/>
    <cellStyle name="60% - Accent5 2 4" xfId="148"/>
    <cellStyle name="60% - Accent5 2 5" xfId="149"/>
    <cellStyle name="60% - Accent6" xfId="150" builtinId="52" customBuiltin="1"/>
    <cellStyle name="60% - Accent6 2" xfId="151"/>
    <cellStyle name="60% - Accent6 2 2" xfId="152"/>
    <cellStyle name="60% - Accent6 2 2 2" xfId="153"/>
    <cellStyle name="60% - Accent6 2 2 3" xfId="154"/>
    <cellStyle name="60% - Accent6 2 3" xfId="155"/>
    <cellStyle name="60% - Accent6 2 4" xfId="156"/>
    <cellStyle name="60% - Accent6 2 5" xfId="157"/>
    <cellStyle name="Accent1" xfId="158" builtinId="29" customBuiltin="1"/>
    <cellStyle name="Accent1 2" xfId="159"/>
    <cellStyle name="Accent1 2 2" xfId="160"/>
    <cellStyle name="Accent1 2 2 2" xfId="161"/>
    <cellStyle name="Accent1 2 2 3" xfId="162"/>
    <cellStyle name="Accent1 2 3" xfId="163"/>
    <cellStyle name="Accent1 2 4" xfId="164"/>
    <cellStyle name="Accent1 2 5" xfId="165"/>
    <cellStyle name="Accent2" xfId="166" builtinId="33" customBuiltin="1"/>
    <cellStyle name="Accent2 2" xfId="167"/>
    <cellStyle name="Accent2 2 2" xfId="168"/>
    <cellStyle name="Accent2 2 2 2" xfId="169"/>
    <cellStyle name="Accent2 2 2 3" xfId="170"/>
    <cellStyle name="Accent2 2 3" xfId="171"/>
    <cellStyle name="Accent2 2 4" xfId="172"/>
    <cellStyle name="Accent2 2 5" xfId="173"/>
    <cellStyle name="Accent3" xfId="174" builtinId="37" customBuiltin="1"/>
    <cellStyle name="Accent3 2" xfId="175"/>
    <cellStyle name="Accent3 2 2" xfId="176"/>
    <cellStyle name="Accent3 2 2 2" xfId="177"/>
    <cellStyle name="Accent3 2 2 3" xfId="178"/>
    <cellStyle name="Accent3 2 3" xfId="179"/>
    <cellStyle name="Accent3 2 4" xfId="180"/>
    <cellStyle name="Accent3 2 5" xfId="181"/>
    <cellStyle name="Accent4" xfId="182" builtinId="41" customBuiltin="1"/>
    <cellStyle name="Accent4 2" xfId="183"/>
    <cellStyle name="Accent4 2 2" xfId="184"/>
    <cellStyle name="Accent4 2 2 2" xfId="185"/>
    <cellStyle name="Accent4 2 2 3" xfId="186"/>
    <cellStyle name="Accent4 2 3" xfId="187"/>
    <cellStyle name="Accent4 2 4" xfId="188"/>
    <cellStyle name="Accent4 2 5" xfId="189"/>
    <cellStyle name="Accent5" xfId="190" builtinId="45" customBuiltin="1"/>
    <cellStyle name="Accent5 2" xfId="191"/>
    <cellStyle name="Accent5 2 2" xfId="192"/>
    <cellStyle name="Accent5 2 2 2" xfId="193"/>
    <cellStyle name="Accent5 2 2 3" xfId="194"/>
    <cellStyle name="Accent5 2 3" xfId="195"/>
    <cellStyle name="Accent5 2 4" xfId="196"/>
    <cellStyle name="Accent5 2 5" xfId="197"/>
    <cellStyle name="Accent6" xfId="198" builtinId="49" customBuiltin="1"/>
    <cellStyle name="Accent6 2" xfId="199"/>
    <cellStyle name="Accent6 2 2" xfId="200"/>
    <cellStyle name="Accent6 2 2 2" xfId="201"/>
    <cellStyle name="Accent6 2 2 3" xfId="202"/>
    <cellStyle name="Accent6 2 3" xfId="203"/>
    <cellStyle name="Accent6 2 4" xfId="204"/>
    <cellStyle name="Accent6 2 5" xfId="205"/>
    <cellStyle name="Bad" xfId="206" builtinId="27" customBuiltin="1"/>
    <cellStyle name="Bad 2" xfId="207"/>
    <cellStyle name="Bad 2 2" xfId="208"/>
    <cellStyle name="Bad 2 2 2" xfId="209"/>
    <cellStyle name="Bad 2 2 3" xfId="210"/>
    <cellStyle name="Bad 2 3" xfId="211"/>
    <cellStyle name="Bad 2 4" xfId="212"/>
    <cellStyle name="Bad 2 5" xfId="213"/>
    <cellStyle name="Calculation" xfId="214" builtinId="22" customBuiltin="1"/>
    <cellStyle name="Calculation 2" xfId="215"/>
    <cellStyle name="Calculation 2 2" xfId="216"/>
    <cellStyle name="Calculation 2 2 2" xfId="217"/>
    <cellStyle name="Calculation 2 2 3" xfId="218"/>
    <cellStyle name="Calculation 2 3" xfId="219"/>
    <cellStyle name="Calculation 2 4" xfId="220"/>
    <cellStyle name="Calculation 2 5" xfId="221"/>
    <cellStyle name="Check Cell" xfId="222" builtinId="23" customBuiltin="1"/>
    <cellStyle name="Check Cell 2" xfId="223"/>
    <cellStyle name="Check Cell 2 2" xfId="224"/>
    <cellStyle name="Check Cell 2 2 2" xfId="225"/>
    <cellStyle name="Check Cell 2 2 3" xfId="226"/>
    <cellStyle name="Check Cell 2 3" xfId="227"/>
    <cellStyle name="Check Cell 2 4" xfId="228"/>
    <cellStyle name="Check Cell 2 5" xfId="229"/>
    <cellStyle name="Comma 2" xfId="230"/>
    <cellStyle name="Comma 2 2" xfId="231"/>
    <cellStyle name="Comma 2 2 2" xfId="232"/>
    <cellStyle name="Comma 2 3" xfId="233"/>
    <cellStyle name="Comma 3" xfId="234"/>
    <cellStyle name="Excel Built-in Normal" xfId="235"/>
    <cellStyle name="Explanatory Text" xfId="236" builtinId="53" customBuiltin="1"/>
    <cellStyle name="Explanatory Text 2" xfId="237"/>
    <cellStyle name="Explanatory Text 2 2" xfId="238"/>
    <cellStyle name="Good" xfId="239" builtinId="26" customBuiltin="1"/>
    <cellStyle name="Good 2" xfId="240"/>
    <cellStyle name="Good 2 2" xfId="241"/>
    <cellStyle name="Good 2 2 2" xfId="242"/>
    <cellStyle name="Good 2 2 3" xfId="243"/>
    <cellStyle name="Good 2 3" xfId="244"/>
    <cellStyle name="Good 2 4" xfId="245"/>
    <cellStyle name="Good 2 5" xfId="246"/>
    <cellStyle name="Heading 1" xfId="247" builtinId="16" customBuiltin="1"/>
    <cellStyle name="Heading 1 2" xfId="248"/>
    <cellStyle name="Heading 1 2 2" xfId="249"/>
    <cellStyle name="Heading 2" xfId="250" builtinId="17" customBuiltin="1"/>
    <cellStyle name="Heading 2 2" xfId="251"/>
    <cellStyle name="Heading 2 2 2" xfId="252"/>
    <cellStyle name="Heading 3" xfId="253" builtinId="18" customBuiltin="1"/>
    <cellStyle name="Heading 3 2" xfId="254"/>
    <cellStyle name="Heading 3 2 2" xfId="255"/>
    <cellStyle name="Heading 4" xfId="256" builtinId="19" customBuiltin="1"/>
    <cellStyle name="Heading 4 2" xfId="257"/>
    <cellStyle name="Heading 4 2 2" xfId="258"/>
    <cellStyle name="Hyperlink 2" xfId="259"/>
    <cellStyle name="Hyperlink 2 2" xfId="260"/>
    <cellStyle name="Hyperlink 2 3" xfId="261"/>
    <cellStyle name="Hyperlink 3" xfId="262"/>
    <cellStyle name="Input" xfId="263" builtinId="20" customBuiltin="1"/>
    <cellStyle name="Input 2" xfId="264"/>
    <cellStyle name="Input 2 2" xfId="265"/>
    <cellStyle name="Input 2 2 2" xfId="266"/>
    <cellStyle name="Input 2 2 3" xfId="267"/>
    <cellStyle name="Input 2 3" xfId="268"/>
    <cellStyle name="Input 2 4" xfId="269"/>
    <cellStyle name="Input 2 5" xfId="270"/>
    <cellStyle name="Linked Cell" xfId="271" builtinId="24" customBuiltin="1"/>
    <cellStyle name="Linked Cell 2" xfId="272"/>
    <cellStyle name="Linked Cell 2 2" xfId="273"/>
    <cellStyle name="Neutral" xfId="274" builtinId="28" customBuiltin="1"/>
    <cellStyle name="Neutral 2" xfId="275"/>
    <cellStyle name="Neutral 2 2" xfId="276"/>
    <cellStyle name="Neutral 2 2 2" xfId="277"/>
    <cellStyle name="Neutral 2 2 3" xfId="278"/>
    <cellStyle name="Neutral 2 3" xfId="279"/>
    <cellStyle name="Neutral 2 4" xfId="280"/>
    <cellStyle name="Neutral 2 5" xfId="281"/>
    <cellStyle name="Normal" xfId="0" builtinId="0"/>
    <cellStyle name="Normal 10" xfId="282"/>
    <cellStyle name="Normal 10 2" xfId="283"/>
    <cellStyle name="Normal 11" xfId="284"/>
    <cellStyle name="Normal 14" xfId="401"/>
    <cellStyle name="Normal 16" xfId="400"/>
    <cellStyle name="Normal 2" xfId="285"/>
    <cellStyle name="Normal 2 10" xfId="286"/>
    <cellStyle name="Normal 2 2" xfId="287"/>
    <cellStyle name="Normal 2 2 2" xfId="288"/>
    <cellStyle name="Normal 2 2 4" xfId="289"/>
    <cellStyle name="Normal 2 3" xfId="290"/>
    <cellStyle name="Normal 2 3 2" xfId="291"/>
    <cellStyle name="Normal 2 3 2 2" xfId="292"/>
    <cellStyle name="Normal 2 3 3" xfId="293"/>
    <cellStyle name="Normal 2 3 3 2" xfId="294"/>
    <cellStyle name="Normal 2 3 3 3" xfId="295"/>
    <cellStyle name="Normal 2 3 4" xfId="296"/>
    <cellStyle name="Normal 2 3 5 2" xfId="297"/>
    <cellStyle name="Normal 2 4" xfId="298"/>
    <cellStyle name="Normal 2 4 2" xfId="299"/>
    <cellStyle name="Normal 2 5" xfId="300"/>
    <cellStyle name="Normal 2 5 2" xfId="301"/>
    <cellStyle name="Normal 2 6" xfId="302"/>
    <cellStyle name="Normal 3" xfId="303"/>
    <cellStyle name="Normal 3 2" xfId="304"/>
    <cellStyle name="Normal 3 2 2" xfId="305"/>
    <cellStyle name="Normal 3 2 3" xfId="306"/>
    <cellStyle name="Normal 3 3" xfId="307"/>
    <cellStyle name="Normal 3 4" xfId="308"/>
    <cellStyle name="Normal 3 5" xfId="309"/>
    <cellStyle name="Normal 3 6" xfId="310"/>
    <cellStyle name="Normal 4" xfId="311"/>
    <cellStyle name="Normal 4 2" xfId="312"/>
    <cellStyle name="Normal 4 2 2" xfId="313"/>
    <cellStyle name="Normal 4 3" xfId="314"/>
    <cellStyle name="Normal 4 3 2" xfId="315"/>
    <cellStyle name="Normal 4 4" xfId="316"/>
    <cellStyle name="Normal 4 4 2" xfId="317"/>
    <cellStyle name="Normal 4 5" xfId="318"/>
    <cellStyle name="Normal 4 5 2" xfId="319"/>
    <cellStyle name="Normal 4 5 3" xfId="320"/>
    <cellStyle name="Normal 43" xfId="321"/>
    <cellStyle name="Normal 5" xfId="322"/>
    <cellStyle name="Normal 5 2" xfId="323"/>
    <cellStyle name="Normal 5 3" xfId="324"/>
    <cellStyle name="Normal 5 4" xfId="325"/>
    <cellStyle name="Normal 5 4 2" xfId="326"/>
    <cellStyle name="Normal 6" xfId="327"/>
    <cellStyle name="Normal 6 2" xfId="328"/>
    <cellStyle name="Normal 6 3" xfId="329"/>
    <cellStyle name="Normal 7" xfId="330"/>
    <cellStyle name="Normal 8" xfId="331"/>
    <cellStyle name="Normal 8 2" xfId="332"/>
    <cellStyle name="Normal 8 3" xfId="333"/>
    <cellStyle name="Normal 9" xfId="334"/>
    <cellStyle name="Note" xfId="335" builtinId="10" customBuiltin="1"/>
    <cellStyle name="Note 2" xfId="336"/>
    <cellStyle name="Note 2 2" xfId="337"/>
    <cellStyle name="Note 2 2 2" xfId="338"/>
    <cellStyle name="Note 2 2 2 2" xfId="339"/>
    <cellStyle name="Note 2 2 3" xfId="340"/>
    <cellStyle name="Note 2 2 3 2" xfId="341"/>
    <cellStyle name="Note 2 2 4" xfId="342"/>
    <cellStyle name="Note 2 3" xfId="343"/>
    <cellStyle name="Note 2 4" xfId="344"/>
    <cellStyle name="Note 2 5" xfId="345"/>
    <cellStyle name="Output" xfId="346" builtinId="21" customBuiltin="1"/>
    <cellStyle name="Output 2" xfId="347"/>
    <cellStyle name="Output 2 2" xfId="348"/>
    <cellStyle name="Output 2 2 2" xfId="349"/>
    <cellStyle name="Output 2 2 3" xfId="350"/>
    <cellStyle name="Output 2 3" xfId="351"/>
    <cellStyle name="Output 2 4" xfId="352"/>
    <cellStyle name="Output 2 5" xfId="353"/>
    <cellStyle name="Percent 2" xfId="354"/>
    <cellStyle name="Percent 2 2" xfId="355"/>
    <cellStyle name="Percent 3" xfId="356"/>
    <cellStyle name="Percent 3 2" xfId="357"/>
    <cellStyle name="Percent 3 2 2" xfId="358"/>
    <cellStyle name="Percent 4" xfId="359"/>
    <cellStyle name="Percent 4 2" xfId="360"/>
    <cellStyle name="Percent 4 2 2" xfId="361"/>
    <cellStyle name="Percent 4 2 2 2" xfId="362"/>
    <cellStyle name="Percent 4 2 2 3" xfId="363"/>
    <cellStyle name="Percent 4 2 2 3 2" xfId="364"/>
    <cellStyle name="Percent 4 2 2 3 3" xfId="365"/>
    <cellStyle name="Percent 4 2 2 3 3 2" xfId="366"/>
    <cellStyle name="Percent 4 2 3" xfId="367"/>
    <cellStyle name="Percent 4 2 4" xfId="368"/>
    <cellStyle name="Percent 4 3" xfId="369"/>
    <cellStyle name="Percent 4 4" xfId="370"/>
    <cellStyle name="Percent 4 4 2" xfId="371"/>
    <cellStyle name="Percent 4 4 3" xfId="372"/>
    <cellStyle name="Percent 4 4 3 2" xfId="373"/>
    <cellStyle name="Percent 4 5" xfId="374"/>
    <cellStyle name="Percent 4 5 2" xfId="375"/>
    <cellStyle name="Percent 4 5 3" xfId="376"/>
    <cellStyle name="Percent 4 5 3 2" xfId="377"/>
    <cellStyle name="Percent 4 6" xfId="378"/>
    <cellStyle name="Percent 4 7" xfId="379"/>
    <cellStyle name="Percent 5" xfId="380"/>
    <cellStyle name="Percent 5 2" xfId="381"/>
    <cellStyle name="Percent 5 3" xfId="382"/>
    <cellStyle name="Percent 5 3 2" xfId="383"/>
    <cellStyle name="Percent 6" xfId="384"/>
    <cellStyle name="Style 1" xfId="385"/>
    <cellStyle name="Title" xfId="386" builtinId="15" customBuiltin="1"/>
    <cellStyle name="Title 2" xfId="387"/>
    <cellStyle name="Title 2 2" xfId="388"/>
    <cellStyle name="Total" xfId="389" builtinId="25" customBuiltin="1"/>
    <cellStyle name="Total 2" xfId="390"/>
    <cellStyle name="Total 2 2" xfId="391"/>
    <cellStyle name="Warning Text" xfId="392" builtinId="11" customBuiltin="1"/>
    <cellStyle name="Warning Text 2" xfId="393"/>
    <cellStyle name="Warning Text 2 2" xfId="394"/>
    <cellStyle name="桁区切り [0.00]_laroux" xfId="395"/>
    <cellStyle name="桁区切り_laroux" xfId="396"/>
    <cellStyle name="標準_94物件" xfId="397"/>
    <cellStyle name="通貨 [0.00]_laroux" xfId="398"/>
    <cellStyle name="通貨_laroux" xfId="39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externalLink" Target="externalLinks/externalLink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externalLink" Target="externalLinks/externalLink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ata0/CURRENT-PROJ/CHALEESGAON-Folder/CHALISGAON-FINANAL%20IMP/Chalisgaon%20%203000%20mt%206.8.13-Fina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OFFICE%20ESTIMATE-%20FINAL%20H%20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KVY%20Road%20&amp;%20compd%20wall,%20roofing,flooring.Estimates/C.C.%20Road%20&amp;%20compd%20wall/1%20Chopada%20C.C.road%20estimate%2023.1.19%2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hree%20Mahaganapati%20Agro%20Producer%20Com.%20Lim.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swceng.MSWCHO/Desktop/Schedule%20B%20CC%20Road%20Nagpur/2)%20Schedule%20B%20Bramhapuri%20CC%20Roa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RKVY%20Road%20&amp;%20compd%20wall,%20roofing,flooring.Estimates/C.C.%20Road%20&amp;%20compd%20wall/2-RAVER%20C.C.road%20estimate%2031-.01-19.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Palghar%20CW%20&amp;%20CC%20common%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LE"/>
      <sheetName val="BS1"/>
      <sheetName val="Re"/>
      <sheetName val="EWH1"/>
      <sheetName val="compound abstract"/>
      <sheetName val="COMPOUND"/>
      <sheetName val="Sheet2"/>
      <sheetName val="EWBM"/>
      <sheetName val="EDEVLP"/>
      <sheetName val="MRdiff"/>
      <sheetName val="R A "/>
      <sheetName val=" B WH1"/>
      <sheetName val=" B WH2"/>
      <sheetName val="B WH3"/>
      <sheetName val=" B WH4"/>
      <sheetName val=" B WBM"/>
      <sheetName val=" B ele"/>
      <sheetName val=" BTermite"/>
      <sheetName val="B DEv"/>
      <sheetName val="Excess-Saving"/>
      <sheetName val="EXTR-iTEM"/>
      <sheetName val="Summry"/>
      <sheetName val="List-Exra"/>
    </sheetNames>
    <sheetDataSet>
      <sheetData sheetId="0" refreshError="1"/>
      <sheetData sheetId="1">
        <row r="1">
          <cell r="A1" t="str">
            <v>MAHARASHTRA STATE WAREHOUSING CORPORATION</v>
          </cell>
        </row>
        <row r="2">
          <cell r="A2" t="str">
            <v>583/B, Market Yard, Gultekadi, Pune - 411037</v>
          </cell>
        </row>
        <row r="14">
          <cell r="N14">
            <v>1495.0650000000001</v>
          </cell>
        </row>
      </sheetData>
      <sheetData sheetId="2" refreshError="1"/>
      <sheetData sheetId="3">
        <row r="789">
          <cell r="M789">
            <v>2602.5554999999999</v>
          </cell>
        </row>
        <row r="821">
          <cell r="M821">
            <v>3235.2056000000002</v>
          </cell>
        </row>
        <row r="1050">
          <cell r="M1050">
            <v>184.20912000000001</v>
          </cell>
        </row>
      </sheetData>
      <sheetData sheetId="4" refreshError="1"/>
      <sheetData sheetId="5" refreshError="1"/>
      <sheetData sheetId="6" refreshError="1"/>
      <sheetData sheetId="7" refreshError="1"/>
      <sheetData sheetId="8" refreshError="1"/>
      <sheetData sheetId="9">
        <row r="16">
          <cell r="N16">
            <v>268</v>
          </cell>
        </row>
        <row r="17">
          <cell r="N17">
            <v>313.61</v>
          </cell>
        </row>
        <row r="21">
          <cell r="G21">
            <v>70.67</v>
          </cell>
        </row>
        <row r="22">
          <cell r="F22">
            <v>0</v>
          </cell>
        </row>
        <row r="26">
          <cell r="M26">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e sheet"/>
      <sheetName val="Recap"/>
      <sheetName val="Sheet3"/>
      <sheetName val="Sheet2"/>
      <sheetName val="office work"/>
      <sheetName val="Toilet block"/>
      <sheetName val="Apron"/>
      <sheetName val="R.A. &amp; AB. (2)"/>
      <sheetName val="Sheet1"/>
      <sheetName val="Hamal Shed"/>
      <sheetName val="Elect"/>
      <sheetName val="Abstract"/>
      <sheetName val="Sheet4"/>
      <sheetName val="office work (2)"/>
      <sheetName val="RA-1"/>
      <sheetName val="RA"/>
      <sheetName val="Sheet5"/>
    </sheetNames>
    <sheetDataSet>
      <sheetData sheetId="0"/>
      <sheetData sheetId="1"/>
      <sheetData sheetId="2"/>
      <sheetData sheetId="3"/>
      <sheetData sheetId="4"/>
      <sheetData sheetId="5"/>
      <sheetData sheetId="6"/>
      <sheetData sheetId="7"/>
      <sheetData sheetId="8"/>
      <sheetData sheetId="9"/>
      <sheetData sheetId="10"/>
      <sheetData sheetId="11">
        <row r="23">
          <cell r="E23">
            <v>251.67</v>
          </cell>
        </row>
      </sheetData>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SW I to III"/>
      <sheetName val="Speci."/>
      <sheetName val="Sheet1"/>
      <sheetName val="Schedule C "/>
      <sheetName val="Schedule C RD"/>
      <sheetName val="Schedule C  (2)"/>
      <sheetName val="She. B Abstract"/>
      <sheetName val="Schedule- B"/>
      <sheetName val="TS1 (2)"/>
      <sheetName val="She. B Abstract "/>
      <sheetName val="Schedule- B (2)"/>
      <sheetName val="She. B Abstract RD"/>
      <sheetName val="Schedule- B ."/>
      <sheetName val="FS Rd"/>
      <sheetName val="TS Rd"/>
      <sheetName val="Main Recap"/>
      <sheetName val="Abstract road"/>
      <sheetName val="Sheet 1 DSR "/>
      <sheetName val="Rd."/>
      <sheetName val="Apron &amp; Guter"/>
      <sheetName val="R A RD"/>
      <sheetName val="Royaly RD"/>
      <sheetName val="Lab Test RD"/>
      <sheetName val="FS CMPD"/>
      <sheetName val="TS1 CMPD"/>
      <sheetName val="Part B- Abstract C.W."/>
      <sheetName val="Sheet 1 COMPD"/>
      <sheetName val="Compound wall Est. "/>
      <sheetName val="R.A FENCING &amp; GATE"/>
      <sheetName val="RoyalyCMPD"/>
      <sheetName val="Lab Test compound"/>
      <sheetName val="She. B Abstract."/>
      <sheetName val="Schedule C Elect "/>
      <sheetName val="Schedule C Civil"/>
      <sheetName val="Recap "/>
      <sheetName val="Schedule- B .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3">
          <cell r="B13" t="str">
            <v>SUBWORK  II -  Appron &amp; Gutter</v>
          </cell>
        </row>
        <row r="14">
          <cell r="B14" t="str">
            <v>SUBWORK  III :- Material Lab Testing charges</v>
          </cell>
        </row>
        <row r="15">
          <cell r="B15" t="str">
            <v>SUBWORK IV :- Royalty Charges</v>
          </cell>
        </row>
      </sheetData>
      <sheetData sheetId="13">
        <row r="5">
          <cell r="A5" t="str">
            <v>Name of work:-   Construction of  Concrete Road with Appron Gutter works in Warehouse Complex at CHOPADA, Dist.-JALGAON</v>
          </cell>
        </row>
        <row r="27">
          <cell r="C27" t="str">
            <v>Removing and refixing old available guard stone in warehouse complex  in standard size c.c.1:4:8 bed block etc. complete as directed by Engineer in Charge.</v>
          </cell>
        </row>
        <row r="41">
          <cell r="C41" t="str">
            <v xml:space="preserve"> Providing earth work in embankment with approved materials obtained from other sources  including all leads &amp; lifts, laying in layers of 20cm. to 30cm. thickness breaking clods, dressing to the required lines, curves, grades &amp; section, watering and compa</v>
          </cell>
        </row>
        <row r="42">
          <cell r="C42" t="str">
            <v>Conveying materials obtained from road cutting including all lifts, laying in layers of 20cm to 30cm. breaking clods, dressing to the required lines, curves, grades and section, watering and compacting to not less than 100% of standard Proctor density for</v>
          </cell>
        </row>
        <row r="43">
          <cell r="C43" t="str">
            <v xml:space="preserve">Conveying the materials obtained from excavation including laying in layers, breaking clods, dressing to the required lines, curves, grades and section for all leads &amp; lifts from the site of excavation to the site of deposition  outside the complex as by </v>
          </cell>
        </row>
        <row r="50">
          <cell r="C50" t="str">
            <v>Providing second class Burnt Brick masonry with conventional/ I.S. type bricks in cement mortar 1:6 in foundations and plinth of inner walls/ in plinth external walls including bailing out water manually , striking joints on unexposed faces, raking out jo</v>
          </cell>
        </row>
        <row r="53">
          <cell r="C53" t="str">
            <v>Providing selected hard murum filling including laying in layers of 15 to 20cmwith watering and compacting etc. complete.</v>
          </cell>
        </row>
        <row r="54">
          <cell r="G54">
            <v>5939338</v>
          </cell>
        </row>
        <row r="77">
          <cell r="G77">
            <v>1414959</v>
          </cell>
        </row>
        <row r="105">
          <cell r="G105">
            <v>103550</v>
          </cell>
        </row>
        <row r="110">
          <cell r="G110">
            <v>156235</v>
          </cell>
        </row>
      </sheetData>
      <sheetData sheetId="14">
        <row r="37">
          <cell r="B37" t="str">
            <v>SUBWORK I - Internal Roads</v>
          </cell>
        </row>
        <row r="39">
          <cell r="B39" t="str">
            <v>SUBWORK  II -  Appron &amp; Gutter</v>
          </cell>
        </row>
      </sheetData>
      <sheetData sheetId="15"/>
      <sheetData sheetId="16"/>
      <sheetData sheetId="17">
        <row r="19">
          <cell r="B19" t="str">
            <v>SUBWORK  III :- Material Lab Testing charges</v>
          </cell>
        </row>
        <row r="21">
          <cell r="B21" t="str">
            <v>SUBWORK IV :- Royalty Charges</v>
          </cell>
        </row>
      </sheetData>
      <sheetData sheetId="18">
        <row r="187">
          <cell r="C187">
            <v>705</v>
          </cell>
        </row>
        <row r="240">
          <cell r="B240" t="str">
            <v>Providing uncoursed rubble masonry of trap / granite / quartzite / gneiss stones in cement mortar 1:6 in foundation and plinth of inner walls / in plinth of external walls including bailing out water manually , striking joints on un exposed faces and wate</v>
          </cell>
        </row>
        <row r="242">
          <cell r="B242" t="str">
            <v>Providing uncoursed rubble masonry of trap / granite / quartzite / gneiss stones in cement mortar 1:6 in foundation and plinth of inner walls / in plinth of external walls including bailing out water manually , striking joints on un exposed faces and wate</v>
          </cell>
        </row>
        <row r="244">
          <cell r="B244" t="str">
            <v>Providing second class Burnt Brick masonry with conventional/ I.S. type bricks in cement mortar 1:6 in foundations and plinth of inner walls/ in plinth external walls including bailing out water manually , striking joints on unexposed faces, raking out jo</v>
          </cell>
        </row>
        <row r="246">
          <cell r="B246" t="str">
            <v>Providing internal cement plaster 20mm thick in two coats in cement mortar 1:4 with cement slurry finish, to concrete, brick surface, in all positions including scaffolding and curing etc.complete.  With fine aggregate (Natural Sand / Crushed sand VSI Gra</v>
          </cell>
        </row>
        <row r="256">
          <cell r="B256" t="str">
            <v>Providing and laying Cast in situ/Ready Mix cement concrete M-20 of trap / granite /quartzite/ gneiss metal for R.C.C. beams and lintels as per detailed designs and drawings or as directed including centering, formwork, cover blocks, laying/pumping, compa</v>
          </cell>
        </row>
        <row r="258">
          <cell r="B258" t="str">
            <v>Providing and fixing in position TMT - FE - 500 bar reinforcement of various diameters for R.C.C. pile caps, footings, foundations, slabs, beams columns, canopies, staircase, newels, chajjas, lintels pardis,copings, fins, arches etc. as per detailed desig</v>
          </cell>
        </row>
        <row r="260">
          <cell r="B260" t="str">
            <v xml:space="preserve">Scrapping and providing &amp; applying oilpainting in three coats of approved colour &amp; shade to flooring for marking stacklines including preparing the surfaces &amp; primer coat etc. complete. ( Sample and brand is to be got approved)  </v>
          </cell>
        </row>
        <row r="262">
          <cell r="B262" t="str">
            <v xml:space="preserve"> Conveying materials obtained from road cutting including all lifts, laying in layers of 20cm to 30cm. breaking clods, dressing to the required lines, curves, grades and section, watering and compacting to not less than 100% of standard Proctor density fo</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5">
          <cell r="B5" t="str">
            <v>Name of work:-   Construction of  Concrete Road with Appron Gutter works in Warehouse Complex at CHOPADA, Dist.-JALGAON</v>
          </cell>
        </row>
      </sheetData>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Recap"/>
      <sheetName val="Abstract"/>
      <sheetName val="Measurement"/>
      <sheetName val="Lead Statement"/>
      <sheetName val="Rate Ana"/>
      <sheetName val="Quarry"/>
    </sheetNames>
    <sheetDataSet>
      <sheetData sheetId="0"/>
      <sheetData sheetId="1"/>
      <sheetData sheetId="2"/>
      <sheetData sheetId="3">
        <row r="105">
          <cell r="B105" t="str">
            <v>Providing and fixing solid core flush door shutter in single leaf 32 mm thick decorative type of exterior grade as per detailed drawings approved face veneers 3 mm thick on both faces or as directed, all necessary beads, mouldings and lipping, wrought iron hold fasts, chromium plated fixtures and fastenings, with brass mortise lock, chromium plated handles on both sides, and finishing with French Polish etc. complete.</v>
          </cell>
        </row>
      </sheetData>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 B Abstract"/>
      <sheetName val="Schedule- B"/>
      <sheetName val="Schedule C"/>
    </sheetNames>
    <sheetDataSet>
      <sheetData sheetId="0" refreshError="1"/>
      <sheetData sheetId="1" refreshError="1">
        <row r="15">
          <cell r="C15" t="str">
            <v>Excavation for side gutters &amp; road formation in earth soil of all type sand gravel &amp; soft murum including dresing section to required grade, camber and side slopes and conveying the excavated materials upto a lead of 50 metres and spreading for embankemnt</v>
          </cell>
        </row>
        <row r="16">
          <cell r="C16" t="str">
            <v>Excavation for side gutters &amp; road formation in hard murum including dresing section to required grade, camber and side slopes and conveying the excavated materials upto a lead of 50 metres and spreading for embankemnt or stacking  etc. complete.</v>
          </cell>
        </row>
        <row r="17">
          <cell r="C17" t="str">
            <v>Excavation for side gutters &amp; road formation in soft rock including dresing section to required grade, camber and side slopes and conveying the excavated materials upto a lead of 50 metres and spreading for embankemnt or stacking etc. complete.</v>
          </cell>
        </row>
        <row r="18">
          <cell r="C18" t="str">
            <v>Supplying hard murum at the road side including conveying &amp; stacking etc. complete.</v>
          </cell>
        </row>
        <row r="19">
          <cell r="C19" t="str">
            <v xml:space="preserve">Spreading gravel / sand/ soft murum/ available  murum over rubble soling / W.B.M surface blanketing berms etc.Cnveying &amp; stacking etc. complete. </v>
          </cell>
        </row>
        <row r="20">
          <cell r="C20" t="str">
            <v xml:space="preserve">Construction of granular sub-base by providing close graded Material, mixing in a mechanical mix plant at OMC, carriage of mixed Material to work site, spreading in uniform layers with motor grader/ Paver on prepared surface and compacting with vibratory </v>
          </cell>
        </row>
        <row r="21">
          <cell r="C21" t="str">
            <v>Wet Mix Macadam -- Providing, laying, spreading and compacting graded stone aggregate to wet mix macadam specification including premixing the Material with water at OMC in mechanical mix plant carriage of mixed Material by tipper to site, laying in unifo</v>
          </cell>
        </row>
        <row r="22">
          <cell r="C22" t="str">
            <v>Compacting  the hard murum side width layer on each side  with power roller including artificial watering etc. complete.</v>
          </cell>
        </row>
        <row r="23">
          <cell r="C23" t="str">
            <v>Construction of dry lean cement concrete Sub- base over a prepared sub-grade with coarse and fine aggregate ( natural sand/ VSI grade finely washed crushed sand) conforming to IS: 383, the size of coarse aggregate not exceeding 25 mm, , cement content not</v>
          </cell>
        </row>
        <row r="24">
          <cell r="C24" t="str">
            <v>Providing and laying 125 microns low density polyethylene (LDPe) sheet confirming to is 3395 : 1997 below concrete pavement including all materials and labour complete.</v>
          </cell>
        </row>
        <row r="25">
          <cell r="C25" t="str">
            <v>Providing and laying in situ unreinforced plain  cement concrete pavement  of  M 35 grade, over a prepared sub base with 43 grade cement, coarse and fine aggregate conforming to IS 383, maximum size of coarse aggregate not exceeding 25 milimetres, mixed i</v>
          </cell>
        </row>
        <row r="26">
          <cell r="C26" t="str">
            <v>Providing &amp; fixing R. C. C. 1:2:4 guard stones as per type design including painting numbering fixing in std. Size C. C. 1:4:8 block complete.</v>
          </cell>
        </row>
        <row r="27">
          <cell r="C27" t="str">
            <v>Providing &amp; fixing in position  TMT / HYSD steel  reinforcement of various diameters for R.C.C.pile caps,  footings, foundation, slabs,beams and columns, canopies, staircases, newels, chajjas, lintels, pardies, coping, fins, arches etc. as per detailed de</v>
          </cell>
        </row>
        <row r="28">
          <cell r="C28" t="str">
            <v>Providing and laying Cast in situ/Ready Mix cement concrete M-35 of trap / granite /quartzite/ gneiss metal for R.C.C. work in foundations like raft, strip foundations, grillage and footings of R.C.C. columns and steel stanchions etc. columns as per detai</v>
          </cell>
        </row>
        <row r="29">
          <cell r="C29" t="str">
            <v xml:space="preserve">Providing and laying Cast in situ/Ready Mixcement concrete M-35 of trap / granite /quartzite/ gneiss metal for R.C.C. beams and lintels as per detailed designs and drawings or as directed including steel centering, formwork, cover blocks, laying/pumping, </v>
          </cell>
        </row>
        <row r="30">
          <cell r="C30" t="str">
            <v>Providing and laying Cast in situ/Ready Mix cement concrete M-35 of trap/ granite / quartzite/ gneiss metal for R.C.C. slabs and landings as per detailed designs and drawings including steel centering, formwork, cover blocks, laying/pumping, compaction fi</v>
          </cell>
        </row>
        <row r="31">
          <cell r="C31" t="str">
            <v>Providing internal cement plaster 20mm thick in two coats in cement mortar 1:4 without neeru finish, to concrete, brick surface, in all positions including scaffolding and curing etc.complete. And Providing fine cement finish 1.5 mm thick over green plast</v>
          </cell>
        </row>
        <row r="32">
          <cell r="C32" t="str">
            <v>Providing earth work in embankment with approved materials obtained from departmental land upto lead of 50m. including all lifts, laying in layers of 20cm. to 30cm. thickness breaking clods, dressing to the required lines, curves, grades &amp; section, wateri</v>
          </cell>
        </row>
        <row r="36">
          <cell r="C36" t="str">
            <v>Providing  &amp; laying cement concrete pipe of I .S. 458 / 2003 NP 3 class of 600 milimetre diameter. In proper line, level &amp; slope including providing, fixing collars or spigot &amp; cocket joint by rubber ring &amp; in Cement  Morter 1:2 etc. complete.</v>
          </cell>
        </row>
        <row r="37">
          <cell r="C37" t="str">
            <v>Cutting transverse contraction joints 3 to 4 mm wide and depth 60mm. .in concrete slab using concrete cutting machine with diamond studded saw within 48 hours of casting of bay / slab etc. complete including subsequent widening of the groove 8 to 10 mm. w</v>
          </cell>
        </row>
        <row r="38">
          <cell r="C38" t="str">
            <v xml:space="preserve">Providing to contraction joints polysuphide sealent (Pouring grade) confirming to BS : 5212 - 1989 into sawed groove widened at top for sealent reservoir of specified size and shape as per detailed drawing including fixing Polyethylene foam backer rod of </v>
          </cell>
        </row>
        <row r="39">
          <cell r="C39" t="str">
            <v>Supplying &amp;erecting G.I. pipe ‘A’ class 75 mm dia. Erected for enclosing PVC armoured cable on wall/pole as per specification No. CB-CE</v>
          </cell>
        </row>
        <row r="51">
          <cell r="C51" t="str">
            <v xml:space="preserve">Dismentling brick masonry in lime or cement Mortor and stacking the materials as directed with all leads, lifts etc. complete   </v>
          </cell>
        </row>
        <row r="52">
          <cell r="C52" t="str">
            <v xml:space="preserve">Dismentling stone masonry in lime or cement Mortor including  stacking the materials as directed with all leads, lifts etc. complete </v>
          </cell>
        </row>
        <row r="53">
          <cell r="C53" t="str">
            <v xml:space="preserve">Removing the lime or lean cement concrete including stacking the spoils as directed with all leads, lifts etc. complete. </v>
          </cell>
        </row>
        <row r="54">
          <cell r="C54" t="str">
            <v>Excavation for foundation in earth, soil of all types sand, gravel, and soft murum for depth up to 1.5 metres including removing the excavated materials upto a distance of 50 metres beyond the building area and stacking or spreading as directed, preparing</v>
          </cell>
        </row>
        <row r="55">
          <cell r="C55" t="str">
            <v>Excavation for foundation in hard murum for depth up to 1.5 metres including removing the excavated materials upto a distance of 50 metres beyond the building area and stacking or spreading as directed, preparing the bed for the foundation and necessary b</v>
          </cell>
        </row>
        <row r="56">
          <cell r="C56" t="str">
            <v>Excavation for foundation in Hard Murum &amp; boulder for depth to 1.5 metres including removing the excavated stuff upto a distance of 50 metres beyond the building area all lifts stacking or spreading as directed, dewatering, shoring, strutting if necessary</v>
          </cell>
        </row>
        <row r="57">
          <cell r="C57" t="str">
            <v>Providing soling using 80 mm size trap metal in 15 cm. layer including filling voids with Crushed sand/grit,  ramming, watering etc. complete.</v>
          </cell>
        </row>
        <row r="58">
          <cell r="C58" t="str">
            <v xml:space="preserve"> Providing and laying Cast in situ/Ready Mix cement concrete in M-10 of trap/ granite/ quartzite/ gneiss metal for foundation and bedding including bailing out water, Steel centering, formwork, laying/pumping, compacting, roughening them if special finish</v>
          </cell>
        </row>
        <row r="62">
          <cell r="C62" t="str">
            <v xml:space="preserve">Providing Hard Murum cohesive non-swelling materials in plinth in layers of 20 cms etc. complete as directed. [ Only compacted thickness is payable </v>
          </cell>
        </row>
        <row r="63">
          <cell r="C63" t="str">
            <v xml:space="preserve">Filling in plinth and floors with approved excavated materials in 15 centi metres To 20 centi metres layers including watering and compaction complete. </v>
          </cell>
        </row>
        <row r="64">
          <cell r="C64" t="str">
            <v>Providing &amp; laying stone metal layer of 20 centi metres thickness with 60 mili metres over size metal 65% and 40 mili metres size metal 35% with sand or stone chips spreading &amp; leveling handpacking complete.</v>
          </cell>
        </row>
        <row r="67">
          <cell r="C67" t="str">
            <v>Conveying the materials obtained from excavation including laying in layers, breaking clods, dressing to the required lines, curves, grades and section for all leads &amp; lifts from the site of excavation to the site of deposition  outside the complex as dir</v>
          </cell>
        </row>
      </sheetData>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sheetName val="SW I to III"/>
      <sheetName val="Speci."/>
      <sheetName val="Sheet1"/>
      <sheetName val="Schedule C "/>
      <sheetName val="Schedule C  (2)"/>
      <sheetName val="She. B Abstract"/>
      <sheetName val="TS1 (2)"/>
      <sheetName val="She. B Abstract "/>
      <sheetName val="Schedule- B (2)"/>
      <sheetName val="Schedule- B ."/>
      <sheetName val="She. B Abstract RD"/>
      <sheetName val="Schedule- B RD"/>
      <sheetName val="Schedule C RD"/>
      <sheetName val="FS-Rd"/>
      <sheetName val="TS1-Rd"/>
      <sheetName val="Recap-Rd "/>
      <sheetName val="Sheet 1 DSR-Rd "/>
      <sheetName val="Rd."/>
      <sheetName val="Apron &amp; Guter"/>
      <sheetName val="R A ii"/>
      <sheetName val="Royaly-Rd "/>
      <sheetName val="Lab Test-Rd"/>
      <sheetName val="R.A FENCING &amp; GATE"/>
      <sheetName val="FS-Comp"/>
      <sheetName val="TS1-Comp"/>
      <sheetName val="Recap.Comp "/>
      <sheetName val="Sheet 1 COMPD"/>
      <sheetName val="Compound wall "/>
      <sheetName val="Royaly-Comp"/>
      <sheetName val="Lab Test compound"/>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8">
          <cell r="C28" t="str">
            <v xml:space="preserve">PART  II :- CROSS DRAINAGE WORKS </v>
          </cell>
        </row>
        <row r="29">
          <cell r="C29" t="str">
            <v xml:space="preserve">Excavation for foundation in earth, soil of all types, sand, gravel and soft murum, including removing the excavated material up to a distance of 50 m. beyond the building area and stacking and spreading as directed, dewatering, preparing the bed for the </v>
          </cell>
        </row>
        <row r="30">
          <cell r="C30" t="str">
            <v xml:space="preserve"> Excavation for foundation in hard murum including removing the excavated material upto distance of 50 metres beyond the building area and stacking and spreading as directed, dewatering, preparing the bed for the foundation and necessary back filling, ram</v>
          </cell>
        </row>
        <row r="31">
          <cell r="C31" t="str">
            <v xml:space="preserve"> Excavation for foundation in hard murum and boulders including removing the excavated material up to a distance 50 metres, beyond the building area and stacking and spreading as directed, dewatering,preparing the bed for the foundation and necessary back</v>
          </cell>
        </row>
        <row r="33">
          <cell r="C33" t="str">
            <v>Providing soling using 80 mm size trap metal in 15 cm. layer including filling voids with Crushed sand/grit, ramming, watering etc. complete.</v>
          </cell>
        </row>
        <row r="34">
          <cell r="C34" t="str">
            <v xml:space="preserve"> Providing and laying Cast in situ/Ready Mix cement concrete in M-10 of trap/ granite/ quartzite/ gneiss metal for foundation and bedding including bailing out water, Steel centering, formwork, laying/pumping, compacting, roughening them if special finish</v>
          </cell>
        </row>
        <row r="35">
          <cell r="C35" t="str">
            <v>Providing uncoursed rubble masonry of trap / granite / quartzite / gneiss stones in cement mortar 1:6 in foundation and plinth of inner walls / in plinth of external walls including bailing out water manually , striking joints on un exposed faces and wate</v>
          </cell>
        </row>
        <row r="49">
          <cell r="C49" t="str">
            <v xml:space="preserve">Providing and fixing in position TMT FE 500, tie bars bars precoated with anticorrosive epoxy paint of 12 mm Dia. 70 cms. Long spacing @ 30.00 cm. C/C at cross side of 4.00 m interval along length and 60 cms long spacing @30 cms along length side whrever </v>
          </cell>
        </row>
        <row r="50">
          <cell r="C50" t="str">
            <v>Providing and laying Cast in situ / Ready Mix cement concrete in M 15 oftrap /granite / quartzite / gneiss metal for steps including steel centering, formwork, laying/pumping, compacting, roughening them if special finish is to be provided, finishing unev</v>
          </cell>
        </row>
        <row r="51">
          <cell r="C51" t="str">
            <v>Providing internal cement plaster 20mm thick in two coats in cement mortar 1:4 with cement slurry finish, to concrete, brick surface, in all positions including scaffolding and curing etc.complete.  With fine aggregate (Natural Sand / Crushed sand VSI Gra</v>
          </cell>
        </row>
        <row r="52">
          <cell r="C52" t="str">
            <v>Providing and laying Cast in situ/Ready Mix cement concrete in M-20of trap/ granite/ quartzite/ gneiss metal for R.C.C. pardi of required thickness including steel centering, formwork, cover blocks,laying/pumping, compacting , curing , finishing and rough</v>
          </cell>
        </row>
        <row r="70">
          <cell r="C70" t="str">
            <v>Providing and laying Cast in situ/Ready Mix cement concrete M-15 of trap/ granite/quartzite/gneiss metal for coping to plinth or parapet, moulded or chamfered as per drawing or as directed including steelcentering, plywood/ steel formwork compacting, roug</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stract B "/>
      <sheetName val="TS1"/>
      <sheetName val="She. B Abstract All"/>
      <sheetName val="Schedule- B All "/>
      <sheetName val="Schedule C All"/>
      <sheetName val="Face sheet All "/>
      <sheetName val="TS1 All "/>
      <sheetName val="Recap  All "/>
      <sheetName val="Index CW"/>
      <sheetName val="abstract CW"/>
      <sheetName val="Lab. charges CW"/>
      <sheetName val="Royaly CW"/>
      <sheetName val="Cement C. CW"/>
      <sheetName val="Compd wLL CW"/>
      <sheetName val="R.A. CW"/>
      <sheetName val="History Sheet, CW"/>
      <sheetName val="Index CC"/>
      <sheetName val="Abstract CC"/>
      <sheetName val="Royaly  CC"/>
      <sheetName val="Concrete Road CC"/>
      <sheetName val="Apron &amp; Guter CC"/>
      <sheetName val="Lab testing charges CC"/>
      <sheetName val="Cement consumption CC"/>
      <sheetName val="History sheet CC"/>
      <sheetName val="Electrification"/>
      <sheetName val="Compoun wall RA - IV"/>
      <sheetName val="RA shutter"/>
      <sheetName val="Schedule C "/>
      <sheetName val="TS"/>
      <sheetName val="FL"/>
      <sheetName val="facesheet"/>
      <sheetName val="Recap"/>
      <sheetName val="Rd."/>
      <sheetName val="RA"/>
      <sheetName val="Lab test"/>
      <sheetName val="Sheet1"/>
    </sheetNames>
    <sheetDataSet>
      <sheetData sheetId="0" refreshError="1"/>
      <sheetData sheetId="1" refreshError="1"/>
      <sheetData sheetId="2" refreshError="1"/>
      <sheetData sheetId="3" refreshError="1">
        <row r="122">
          <cell r="C122" t="str">
            <v>Royalty Charges for Murum etc. Completed.</v>
          </cell>
        </row>
        <row r="123">
          <cell r="C123" t="str">
            <v>Royalty Charges for UCR mesonary rubble etc. complete.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7"/>
  <sheetViews>
    <sheetView topLeftCell="A12" workbookViewId="0">
      <selection activeCell="A4" sqref="A4:Q4"/>
    </sheetView>
  </sheetViews>
  <sheetFormatPr defaultRowHeight="12"/>
  <cols>
    <col min="1" max="1" width="4.85546875" style="11" customWidth="1"/>
    <col min="2" max="2" width="14.85546875" style="11" customWidth="1"/>
    <col min="3" max="3" width="8.7109375" style="11" bestFit="1" customWidth="1"/>
    <col min="4" max="4" width="6.28515625" style="11" bestFit="1" customWidth="1"/>
    <col min="5" max="5" width="8.5703125" style="11" bestFit="1" customWidth="1"/>
    <col min="6" max="6" width="7.28515625" style="11" bestFit="1" customWidth="1"/>
    <col min="7" max="7" width="5.42578125" style="11" bestFit="1" customWidth="1"/>
    <col min="8" max="8" width="8" style="11" customWidth="1"/>
    <col min="9" max="9" width="7" style="11" bestFit="1" customWidth="1"/>
    <col min="10" max="10" width="5.42578125" style="11" bestFit="1" customWidth="1"/>
    <col min="11" max="11" width="6.5703125" style="11" bestFit="1" customWidth="1"/>
    <col min="12" max="16384" width="9.140625" style="11"/>
  </cols>
  <sheetData>
    <row r="1" spans="1:17">
      <c r="A1" s="727" t="e">
        <f>#REF!</f>
        <v>#REF!</v>
      </c>
      <c r="B1" s="727"/>
      <c r="C1" s="727"/>
      <c r="D1" s="727"/>
      <c r="E1" s="727"/>
      <c r="F1" s="727"/>
      <c r="G1" s="727"/>
      <c r="H1" s="727"/>
      <c r="I1" s="727"/>
      <c r="J1" s="727"/>
    </row>
    <row r="2" spans="1:17">
      <c r="A2" s="727" t="e">
        <f>#REF!</f>
        <v>#REF!</v>
      </c>
      <c r="B2" s="727"/>
      <c r="C2" s="727"/>
      <c r="D2" s="727"/>
      <c r="E2" s="727"/>
      <c r="F2" s="727"/>
      <c r="G2" s="727"/>
      <c r="H2" s="727"/>
      <c r="I2" s="727"/>
      <c r="J2" s="727"/>
    </row>
    <row r="4" spans="1:17">
      <c r="A4" s="730" t="s">
        <v>141</v>
      </c>
      <c r="B4" s="730"/>
      <c r="C4" s="730"/>
      <c r="D4" s="730"/>
      <c r="E4" s="730"/>
      <c r="F4" s="730"/>
      <c r="G4" s="730"/>
      <c r="H4" s="730"/>
      <c r="I4" s="730"/>
      <c r="J4" s="730"/>
      <c r="K4" s="730"/>
      <c r="L4" s="730"/>
      <c r="M4" s="730"/>
      <c r="N4" s="730"/>
      <c r="O4" s="730"/>
      <c r="P4" s="730"/>
      <c r="Q4" s="730"/>
    </row>
    <row r="5" spans="1:17">
      <c r="A5" s="728" t="s">
        <v>63</v>
      </c>
      <c r="B5" s="728"/>
      <c r="C5" s="728"/>
      <c r="D5" s="728"/>
      <c r="E5" s="728"/>
      <c r="F5" s="728"/>
      <c r="G5" s="728"/>
      <c r="H5" s="728"/>
      <c r="I5" s="728"/>
      <c r="J5" s="728"/>
      <c r="K5" s="15"/>
    </row>
    <row r="6" spans="1:17" ht="12.75" thickBot="1">
      <c r="A6" s="729" t="s">
        <v>64</v>
      </c>
      <c r="B6" s="729"/>
      <c r="C6" s="729"/>
      <c r="D6" s="729"/>
      <c r="E6" s="729"/>
      <c r="F6" s="729"/>
      <c r="G6" s="33" t="s">
        <v>110</v>
      </c>
      <c r="H6" s="33"/>
      <c r="I6" s="33"/>
      <c r="J6" s="33"/>
      <c r="K6" s="33"/>
    </row>
    <row r="7" spans="1:17" ht="12.75" thickTop="1">
      <c r="A7" s="14"/>
      <c r="B7" s="19"/>
      <c r="C7" s="14"/>
      <c r="D7" s="14"/>
      <c r="E7" s="14"/>
      <c r="F7" s="18"/>
      <c r="G7" s="18"/>
      <c r="H7" s="18"/>
      <c r="I7" s="18"/>
      <c r="J7" s="18"/>
      <c r="K7" s="18"/>
    </row>
    <row r="8" spans="1:17">
      <c r="A8" s="13" t="s">
        <v>52</v>
      </c>
      <c r="B8" s="25" t="s">
        <v>65</v>
      </c>
      <c r="C8" s="13" t="s">
        <v>66</v>
      </c>
      <c r="D8" s="26" t="s">
        <v>67</v>
      </c>
      <c r="E8" s="13" t="s">
        <v>68</v>
      </c>
      <c r="F8" s="27" t="s">
        <v>70</v>
      </c>
      <c r="G8" s="28" t="s">
        <v>71</v>
      </c>
      <c r="H8" s="28"/>
      <c r="I8" s="28" t="s">
        <v>75</v>
      </c>
      <c r="J8" s="28" t="s">
        <v>74</v>
      </c>
      <c r="K8" s="28" t="s">
        <v>3</v>
      </c>
    </row>
    <row r="9" spans="1:17">
      <c r="A9" s="20"/>
      <c r="B9" s="29"/>
      <c r="C9" s="20" t="s">
        <v>53</v>
      </c>
      <c r="D9" s="21" t="s">
        <v>54</v>
      </c>
      <c r="E9" s="20" t="s">
        <v>69</v>
      </c>
      <c r="F9" s="30" t="s">
        <v>1</v>
      </c>
      <c r="G9" s="31" t="s">
        <v>72</v>
      </c>
      <c r="H9" s="31"/>
      <c r="I9" s="31" t="s">
        <v>73</v>
      </c>
      <c r="J9" s="31"/>
      <c r="K9" s="31"/>
    </row>
    <row r="10" spans="1:17" ht="12.75" thickBot="1">
      <c r="A10" s="10">
        <v>1</v>
      </c>
      <c r="B10" s="10">
        <v>2</v>
      </c>
      <c r="C10" s="10">
        <v>3</v>
      </c>
      <c r="D10" s="22">
        <v>4</v>
      </c>
      <c r="E10" s="10">
        <v>5</v>
      </c>
      <c r="F10" s="23">
        <v>6</v>
      </c>
      <c r="G10" s="23">
        <v>7</v>
      </c>
      <c r="H10" s="23"/>
      <c r="I10" s="23">
        <v>8</v>
      </c>
      <c r="J10" s="23">
        <v>9</v>
      </c>
      <c r="K10" s="23">
        <v>10</v>
      </c>
    </row>
    <row r="11" spans="1:17" ht="12.75" thickTop="1">
      <c r="A11" s="1"/>
      <c r="B11" s="2"/>
      <c r="C11" s="1"/>
      <c r="D11" s="7"/>
      <c r="E11" s="1"/>
      <c r="F11" s="4"/>
      <c r="G11" s="4"/>
      <c r="H11" s="4"/>
      <c r="I11" s="4"/>
      <c r="J11" s="4"/>
      <c r="K11" s="4"/>
    </row>
    <row r="12" spans="1:17">
      <c r="A12" s="1">
        <v>1</v>
      </c>
      <c r="B12" s="2" t="s">
        <v>15</v>
      </c>
      <c r="C12" s="1" t="s">
        <v>83</v>
      </c>
      <c r="D12" s="7">
        <v>3</v>
      </c>
      <c r="E12" s="36">
        <v>184.92</v>
      </c>
      <c r="F12" s="36">
        <v>137.68</v>
      </c>
      <c r="G12" s="4">
        <f>E12-F12</f>
        <v>47.239999999999981</v>
      </c>
      <c r="H12" s="4"/>
      <c r="I12" s="4">
        <v>1</v>
      </c>
      <c r="J12" s="4">
        <f>G12/I12</f>
        <v>47.239999999999981</v>
      </c>
      <c r="K12" s="4">
        <f>E12/I12</f>
        <v>184.92</v>
      </c>
    </row>
    <row r="13" spans="1:17">
      <c r="A13" s="1"/>
      <c r="B13" s="2"/>
      <c r="C13" s="1"/>
      <c r="D13" s="7"/>
      <c r="E13" s="37"/>
      <c r="F13" s="36"/>
      <c r="G13" s="4" t="s">
        <v>53</v>
      </c>
      <c r="H13" s="4"/>
      <c r="I13" s="4"/>
      <c r="J13" s="4"/>
      <c r="K13" s="4" t="s">
        <v>53</v>
      </c>
    </row>
    <row r="14" spans="1:17">
      <c r="A14" s="1">
        <v>2</v>
      </c>
      <c r="B14" s="2" t="s">
        <v>76</v>
      </c>
      <c r="C14" s="1" t="s">
        <v>83</v>
      </c>
      <c r="D14" s="7">
        <v>4</v>
      </c>
      <c r="E14" s="36">
        <v>137.68</v>
      </c>
      <c r="F14" s="36">
        <v>137.68</v>
      </c>
      <c r="G14" s="4">
        <f>E14-F14</f>
        <v>0</v>
      </c>
      <c r="H14" s="4"/>
      <c r="I14" s="4">
        <v>1</v>
      </c>
      <c r="J14" s="4">
        <f>G14/I14</f>
        <v>0</v>
      </c>
      <c r="K14" s="4">
        <f>E14/I14</f>
        <v>137.68</v>
      </c>
    </row>
    <row r="15" spans="1:17">
      <c r="A15" s="1"/>
      <c r="B15" s="2"/>
      <c r="C15" s="1"/>
      <c r="D15" s="7"/>
      <c r="E15" s="36"/>
      <c r="F15" s="36"/>
      <c r="G15" s="4" t="s">
        <v>53</v>
      </c>
      <c r="H15" s="4"/>
      <c r="I15" s="4"/>
      <c r="J15" s="4"/>
      <c r="K15" s="4" t="s">
        <v>53</v>
      </c>
    </row>
    <row r="16" spans="1:17">
      <c r="A16" s="1">
        <v>3</v>
      </c>
      <c r="B16" s="2" t="s">
        <v>77</v>
      </c>
      <c r="C16" s="1" t="s">
        <v>83</v>
      </c>
      <c r="D16" s="7">
        <v>7</v>
      </c>
      <c r="E16" s="36">
        <v>143.94</v>
      </c>
      <c r="F16" s="36">
        <v>143.94</v>
      </c>
      <c r="G16" s="4">
        <f>E16-F16</f>
        <v>0</v>
      </c>
      <c r="H16" s="4"/>
      <c r="I16" s="4">
        <v>1</v>
      </c>
      <c r="J16" s="4">
        <f>G16/I16</f>
        <v>0</v>
      </c>
      <c r="K16" s="4">
        <f>E16/I16</f>
        <v>143.94</v>
      </c>
    </row>
    <row r="17" spans="1:11">
      <c r="A17" s="1"/>
      <c r="B17" s="2"/>
      <c r="C17" s="1"/>
      <c r="D17" s="7"/>
      <c r="E17" s="36"/>
      <c r="F17" s="36"/>
      <c r="G17" s="4" t="s">
        <v>53</v>
      </c>
      <c r="H17" s="4"/>
      <c r="I17" s="4"/>
      <c r="J17" s="4"/>
      <c r="K17" s="4" t="s">
        <v>53</v>
      </c>
    </row>
    <row r="18" spans="1:11">
      <c r="A18" s="1">
        <v>4</v>
      </c>
      <c r="B18" s="2" t="s">
        <v>78</v>
      </c>
      <c r="C18" s="1" t="s">
        <v>83</v>
      </c>
      <c r="D18" s="7">
        <v>7</v>
      </c>
      <c r="E18" s="36">
        <v>168.44</v>
      </c>
      <c r="F18" s="36">
        <v>168.44</v>
      </c>
      <c r="G18" s="4">
        <f>E18-F18</f>
        <v>0</v>
      </c>
      <c r="H18" s="4"/>
      <c r="I18" s="4">
        <v>1</v>
      </c>
      <c r="J18" s="4">
        <f>G18/I18</f>
        <v>0</v>
      </c>
      <c r="K18" s="4">
        <f>E18/I18</f>
        <v>168.44</v>
      </c>
    </row>
    <row r="19" spans="1:11">
      <c r="A19" s="1">
        <v>5</v>
      </c>
      <c r="B19" s="2" t="s">
        <v>79</v>
      </c>
      <c r="C19" s="1" t="s">
        <v>83</v>
      </c>
      <c r="D19" s="7">
        <v>1</v>
      </c>
      <c r="E19" s="36">
        <f>226.19*475/1000</f>
        <v>107.44025000000001</v>
      </c>
      <c r="F19" s="36">
        <f>226.19*475/1000</f>
        <v>107.44025000000001</v>
      </c>
      <c r="G19" s="4">
        <f>IF(E19&gt;F19,E19-F19,)</f>
        <v>0</v>
      </c>
      <c r="H19" s="4"/>
      <c r="I19" s="4">
        <v>1</v>
      </c>
      <c r="J19" s="4">
        <f>G19/I19</f>
        <v>0</v>
      </c>
      <c r="K19" s="4">
        <f>E19/I19</f>
        <v>107.44025000000001</v>
      </c>
    </row>
    <row r="20" spans="1:11">
      <c r="A20" s="1"/>
      <c r="B20" s="2" t="s">
        <v>111</v>
      </c>
      <c r="C20" s="1"/>
      <c r="D20" s="7"/>
      <c r="E20" s="36"/>
      <c r="F20" s="36"/>
      <c r="G20" s="4" t="s">
        <v>53</v>
      </c>
      <c r="H20" s="4"/>
      <c r="I20" s="4"/>
      <c r="J20" s="4"/>
      <c r="K20" s="4" t="s">
        <v>53</v>
      </c>
    </row>
    <row r="21" spans="1:11">
      <c r="A21" s="1">
        <v>6</v>
      </c>
      <c r="B21" s="2" t="s">
        <v>80</v>
      </c>
      <c r="C21" s="1" t="s">
        <v>83</v>
      </c>
      <c r="D21" s="7">
        <v>7</v>
      </c>
      <c r="E21" s="36">
        <v>131.94999999999999</v>
      </c>
      <c r="F21" s="36">
        <v>131.94999999999999</v>
      </c>
      <c r="G21" s="4">
        <f>E21-F21</f>
        <v>0</v>
      </c>
      <c r="H21" s="4"/>
      <c r="I21" s="4">
        <v>1</v>
      </c>
      <c r="J21" s="4">
        <f>G21/I21</f>
        <v>0</v>
      </c>
      <c r="K21" s="4">
        <f>E21/I21</f>
        <v>131.94999999999999</v>
      </c>
    </row>
    <row r="22" spans="1:11">
      <c r="A22" s="1"/>
      <c r="B22" s="2"/>
      <c r="C22" s="1"/>
      <c r="D22" s="7"/>
      <c r="E22" s="36"/>
      <c r="F22" s="36"/>
      <c r="G22" s="4" t="s">
        <v>53</v>
      </c>
      <c r="H22" s="4"/>
      <c r="I22" s="4"/>
      <c r="J22" s="4"/>
      <c r="K22" s="4" t="s">
        <v>53</v>
      </c>
    </row>
    <row r="23" spans="1:11">
      <c r="A23" s="1">
        <v>7</v>
      </c>
      <c r="B23" s="2" t="s">
        <v>81</v>
      </c>
      <c r="C23" s="1" t="s">
        <v>83</v>
      </c>
      <c r="D23" s="7">
        <v>7</v>
      </c>
      <c r="E23" s="36">
        <v>131.94999999999999</v>
      </c>
      <c r="F23" s="36">
        <v>131.94999999999999</v>
      </c>
      <c r="G23" s="4">
        <f>E23-F23</f>
        <v>0</v>
      </c>
      <c r="H23" s="4"/>
      <c r="I23" s="4">
        <v>1</v>
      </c>
      <c r="J23" s="4">
        <f>G23/I23</f>
        <v>0</v>
      </c>
      <c r="K23" s="4">
        <f>E23/I23</f>
        <v>131.94999999999999</v>
      </c>
    </row>
    <row r="24" spans="1:11">
      <c r="A24" s="1"/>
      <c r="B24" s="2"/>
      <c r="C24" s="1"/>
      <c r="D24" s="1"/>
      <c r="E24" s="37"/>
      <c r="F24" s="38"/>
      <c r="G24" s="4"/>
      <c r="H24" s="4"/>
      <c r="I24" s="4"/>
      <c r="J24" s="4"/>
      <c r="K24" s="4"/>
    </row>
    <row r="25" spans="1:11">
      <c r="A25" s="1">
        <v>8</v>
      </c>
      <c r="B25" s="2" t="s">
        <v>82</v>
      </c>
      <c r="C25" s="1" t="s">
        <v>83</v>
      </c>
      <c r="D25" s="1">
        <v>1</v>
      </c>
      <c r="E25" s="1">
        <v>35.340000000000003</v>
      </c>
      <c r="F25" s="4"/>
      <c r="G25" s="4"/>
      <c r="H25" s="4"/>
      <c r="I25" s="5">
        <v>1</v>
      </c>
      <c r="J25" s="4">
        <f>E25-F25</f>
        <v>35.340000000000003</v>
      </c>
      <c r="K25" s="4">
        <f>E25/I25</f>
        <v>35.340000000000003</v>
      </c>
    </row>
    <row r="26" spans="1:11">
      <c r="A26" s="1"/>
      <c r="B26" s="2"/>
      <c r="E26" s="1"/>
      <c r="F26" s="6" t="s">
        <v>2</v>
      </c>
      <c r="G26" s="6" t="s">
        <v>7</v>
      </c>
      <c r="H26" s="6"/>
      <c r="I26" s="24" t="s">
        <v>6</v>
      </c>
      <c r="J26" s="4"/>
      <c r="K26" s="4"/>
    </row>
    <row r="27" spans="1:11">
      <c r="A27" s="1">
        <v>1</v>
      </c>
      <c r="B27" s="2" t="s">
        <v>55</v>
      </c>
      <c r="E27" s="2" t="s">
        <v>15</v>
      </c>
      <c r="F27" s="3">
        <v>0.47</v>
      </c>
      <c r="G27" s="4">
        <f>J12</f>
        <v>47.239999999999981</v>
      </c>
      <c r="H27" s="4"/>
      <c r="I27" s="4">
        <f t="shared" ref="I27:I51" si="0">F27*G27</f>
        <v>22.202799999999989</v>
      </c>
      <c r="J27" s="4"/>
      <c r="K27" s="4"/>
    </row>
    <row r="28" spans="1:11">
      <c r="A28" s="1"/>
      <c r="B28" s="2"/>
      <c r="E28" s="2" t="s">
        <v>84</v>
      </c>
      <c r="F28" s="3">
        <v>0.94</v>
      </c>
      <c r="G28" s="4">
        <f>J14</f>
        <v>0</v>
      </c>
      <c r="H28" s="4"/>
      <c r="I28" s="4">
        <f t="shared" si="0"/>
        <v>0</v>
      </c>
      <c r="J28" s="4"/>
      <c r="K28" s="4"/>
    </row>
    <row r="29" spans="1:11">
      <c r="A29" s="1"/>
      <c r="B29" s="2"/>
      <c r="E29" s="2" t="s">
        <v>86</v>
      </c>
      <c r="F29" s="3">
        <f>SUM(F27:F28)</f>
        <v>1.41</v>
      </c>
      <c r="G29" s="4">
        <f>J25</f>
        <v>35.340000000000003</v>
      </c>
      <c r="H29" s="4"/>
      <c r="I29" s="4">
        <f t="shared" si="0"/>
        <v>49.8294</v>
      </c>
      <c r="J29" s="4"/>
      <c r="K29" s="4"/>
    </row>
    <row r="30" spans="1:11">
      <c r="A30" s="1">
        <v>2</v>
      </c>
      <c r="B30" s="2" t="s">
        <v>56</v>
      </c>
      <c r="E30" s="2" t="s">
        <v>15</v>
      </c>
      <c r="F30" s="3">
        <v>0.4</v>
      </c>
      <c r="G30" s="4">
        <f>J12</f>
        <v>47.239999999999981</v>
      </c>
      <c r="H30" s="4"/>
      <c r="I30" s="4">
        <f t="shared" si="0"/>
        <v>18.895999999999994</v>
      </c>
      <c r="J30" s="4"/>
      <c r="K30" s="4"/>
    </row>
    <row r="31" spans="1:11">
      <c r="A31" s="1"/>
      <c r="B31" s="2"/>
      <c r="E31" s="2" t="s">
        <v>85</v>
      </c>
      <c r="F31" s="3">
        <v>1.25</v>
      </c>
      <c r="G31" s="4">
        <f>J18</f>
        <v>0</v>
      </c>
      <c r="H31" s="4"/>
      <c r="I31" s="4">
        <f t="shared" si="0"/>
        <v>0</v>
      </c>
      <c r="J31" s="4"/>
      <c r="K31" s="4"/>
    </row>
    <row r="32" spans="1:11">
      <c r="A32" s="1"/>
      <c r="B32" s="2"/>
      <c r="E32" s="2" t="s">
        <v>87</v>
      </c>
      <c r="F32" s="3">
        <f>SUM(F30:F31)</f>
        <v>1.65</v>
      </c>
      <c r="G32" s="4">
        <f>J25</f>
        <v>35.340000000000003</v>
      </c>
      <c r="H32" s="4"/>
      <c r="I32" s="4">
        <f t="shared" si="0"/>
        <v>58.311</v>
      </c>
      <c r="J32" s="4"/>
      <c r="K32" s="4"/>
    </row>
    <row r="33" spans="1:11">
      <c r="A33" s="1">
        <v>3</v>
      </c>
      <c r="B33" s="2" t="s">
        <v>57</v>
      </c>
      <c r="E33" s="2" t="s">
        <v>15</v>
      </c>
      <c r="F33" s="3">
        <v>0.3</v>
      </c>
      <c r="G33" s="4">
        <f>J12</f>
        <v>47.239999999999981</v>
      </c>
      <c r="H33" s="4"/>
      <c r="I33" s="4">
        <f t="shared" si="0"/>
        <v>14.171999999999993</v>
      </c>
      <c r="J33" s="4"/>
      <c r="K33" s="4"/>
    </row>
    <row r="34" spans="1:11">
      <c r="A34" s="1"/>
      <c r="B34" s="2"/>
      <c r="E34" s="2" t="s">
        <v>39</v>
      </c>
      <c r="F34" s="3">
        <v>1</v>
      </c>
      <c r="G34" s="4">
        <f>J19</f>
        <v>0</v>
      </c>
      <c r="H34" s="4"/>
      <c r="I34" s="4">
        <f t="shared" si="0"/>
        <v>0</v>
      </c>
      <c r="J34" s="4"/>
      <c r="K34" s="4"/>
    </row>
    <row r="35" spans="1:11">
      <c r="A35" s="1"/>
      <c r="B35" s="2"/>
      <c r="E35" s="2" t="s">
        <v>87</v>
      </c>
      <c r="F35" s="3">
        <f>F33</f>
        <v>0.3</v>
      </c>
      <c r="G35" s="4">
        <f>J25</f>
        <v>35.340000000000003</v>
      </c>
      <c r="H35" s="4"/>
      <c r="I35" s="4">
        <f t="shared" si="0"/>
        <v>10.602</v>
      </c>
      <c r="J35" s="4"/>
      <c r="K35" s="4"/>
    </row>
    <row r="36" spans="1:11">
      <c r="A36" s="1">
        <v>4</v>
      </c>
      <c r="B36" s="2" t="s">
        <v>49</v>
      </c>
      <c r="E36" s="2" t="s">
        <v>15</v>
      </c>
      <c r="F36" s="3">
        <v>0.42499999999999999</v>
      </c>
      <c r="G36" s="4">
        <f>J12</f>
        <v>47.239999999999981</v>
      </c>
      <c r="H36" s="4"/>
      <c r="I36" s="4">
        <f t="shared" si="0"/>
        <v>20.076999999999991</v>
      </c>
      <c r="J36" s="4"/>
      <c r="K36" s="4"/>
    </row>
    <row r="37" spans="1:11">
      <c r="A37" s="1"/>
      <c r="B37" s="2"/>
      <c r="E37" s="2" t="s">
        <v>84</v>
      </c>
      <c r="F37" s="3">
        <v>0.85</v>
      </c>
      <c r="G37" s="4">
        <f>J14</f>
        <v>0</v>
      </c>
      <c r="H37" s="4"/>
      <c r="I37" s="4">
        <f t="shared" si="0"/>
        <v>0</v>
      </c>
      <c r="J37" s="4"/>
      <c r="K37" s="4"/>
    </row>
    <row r="38" spans="1:11">
      <c r="A38" s="1"/>
      <c r="B38" s="2"/>
      <c r="E38" s="2" t="s">
        <v>87</v>
      </c>
      <c r="F38" s="3">
        <f>F36</f>
        <v>0.42499999999999999</v>
      </c>
      <c r="G38" s="4">
        <f>J25</f>
        <v>35.340000000000003</v>
      </c>
      <c r="H38" s="4"/>
      <c r="I38" s="4">
        <f t="shared" si="0"/>
        <v>15.019500000000001</v>
      </c>
      <c r="J38" s="4"/>
      <c r="K38" s="4"/>
    </row>
    <row r="39" spans="1:11">
      <c r="A39" s="1" t="s">
        <v>26</v>
      </c>
      <c r="B39" s="2" t="s">
        <v>58</v>
      </c>
      <c r="E39" s="2" t="s">
        <v>15</v>
      </c>
      <c r="F39" s="3">
        <v>0.44</v>
      </c>
      <c r="G39" s="4">
        <f>J12</f>
        <v>47.239999999999981</v>
      </c>
      <c r="H39" s="4"/>
      <c r="I39" s="4">
        <f t="shared" si="0"/>
        <v>20.785599999999992</v>
      </c>
      <c r="J39" s="4"/>
      <c r="K39" s="4"/>
    </row>
    <row r="40" spans="1:11">
      <c r="A40" s="1"/>
      <c r="B40" s="2"/>
      <c r="E40" s="2" t="s">
        <v>84</v>
      </c>
      <c r="F40" s="3">
        <v>0.88</v>
      </c>
      <c r="G40" s="4">
        <f>J14</f>
        <v>0</v>
      </c>
      <c r="H40" s="4"/>
      <c r="I40" s="4">
        <f t="shared" si="0"/>
        <v>0</v>
      </c>
      <c r="J40" s="4"/>
      <c r="K40" s="4"/>
    </row>
    <row r="41" spans="1:11">
      <c r="A41" s="1"/>
      <c r="B41" s="2"/>
      <c r="E41" s="2" t="s">
        <v>87</v>
      </c>
      <c r="F41" s="3">
        <f>F39</f>
        <v>0.44</v>
      </c>
      <c r="G41" s="4">
        <f>J25</f>
        <v>35.340000000000003</v>
      </c>
      <c r="H41" s="4"/>
      <c r="I41" s="4">
        <f t="shared" si="0"/>
        <v>15.549600000000002</v>
      </c>
      <c r="J41" s="4"/>
      <c r="K41" s="4"/>
    </row>
    <row r="42" spans="1:11">
      <c r="A42" s="1">
        <v>5</v>
      </c>
      <c r="B42" s="2" t="s">
        <v>42</v>
      </c>
      <c r="E42" s="2" t="s">
        <v>15</v>
      </c>
      <c r="F42" s="3">
        <v>1.7000000000000001E-2</v>
      </c>
      <c r="G42" s="4">
        <f>J12</f>
        <v>47.239999999999981</v>
      </c>
      <c r="H42" s="4"/>
      <c r="I42" s="4">
        <f t="shared" si="0"/>
        <v>0.80307999999999968</v>
      </c>
      <c r="J42" s="4"/>
      <c r="K42" s="4"/>
    </row>
    <row r="43" spans="1:11">
      <c r="A43" s="1"/>
      <c r="B43" s="2"/>
      <c r="E43" s="2" t="s">
        <v>87</v>
      </c>
      <c r="F43" s="3">
        <f>F42</f>
        <v>1.7000000000000001E-2</v>
      </c>
      <c r="G43" s="4">
        <f>J25</f>
        <v>35.340000000000003</v>
      </c>
      <c r="H43" s="4"/>
      <c r="I43" s="4">
        <f t="shared" si="0"/>
        <v>0.60078000000000009</v>
      </c>
      <c r="J43" s="4"/>
      <c r="K43" s="4"/>
    </row>
    <row r="44" spans="1:11">
      <c r="A44" s="1">
        <v>6</v>
      </c>
      <c r="B44" s="2" t="s">
        <v>61</v>
      </c>
      <c r="E44" s="2" t="s">
        <v>15</v>
      </c>
      <c r="F44" s="3">
        <v>2.4E-2</v>
      </c>
      <c r="G44" s="4">
        <f>J12</f>
        <v>47.239999999999981</v>
      </c>
      <c r="H44" s="4"/>
      <c r="I44" s="4">
        <f t="shared" si="0"/>
        <v>1.1337599999999997</v>
      </c>
      <c r="J44" s="4"/>
      <c r="K44" s="4"/>
    </row>
    <row r="45" spans="1:11">
      <c r="A45" s="1"/>
      <c r="B45" s="2"/>
      <c r="E45" s="2" t="s">
        <v>87</v>
      </c>
      <c r="F45" s="3">
        <f>F44</f>
        <v>2.4E-2</v>
      </c>
      <c r="G45" s="4">
        <f>J25</f>
        <v>35.340000000000003</v>
      </c>
      <c r="H45" s="4"/>
      <c r="I45" s="4">
        <f t="shared" si="0"/>
        <v>0.84816000000000014</v>
      </c>
      <c r="J45" s="4"/>
      <c r="K45" s="4"/>
    </row>
    <row r="46" spans="1:11">
      <c r="A46" s="1">
        <v>7</v>
      </c>
      <c r="B46" s="2" t="s">
        <v>62</v>
      </c>
      <c r="E46" s="2" t="s">
        <v>15</v>
      </c>
      <c r="F46" s="3">
        <v>2.4E-2</v>
      </c>
      <c r="G46" s="4">
        <f>J12</f>
        <v>47.239999999999981</v>
      </c>
      <c r="H46" s="4"/>
      <c r="I46" s="4">
        <f t="shared" si="0"/>
        <v>1.1337599999999997</v>
      </c>
      <c r="J46" s="4"/>
      <c r="K46" s="4"/>
    </row>
    <row r="47" spans="1:11">
      <c r="A47" s="1"/>
      <c r="B47" s="2"/>
      <c r="E47" s="2" t="s">
        <v>87</v>
      </c>
      <c r="F47" s="3">
        <f>F46</f>
        <v>2.4E-2</v>
      </c>
      <c r="G47" s="4">
        <f>J25</f>
        <v>35.340000000000003</v>
      </c>
      <c r="H47" s="4"/>
      <c r="I47" s="4">
        <f t="shared" si="0"/>
        <v>0.84816000000000014</v>
      </c>
      <c r="J47" s="4"/>
      <c r="K47" s="4"/>
    </row>
    <row r="48" spans="1:11">
      <c r="A48" s="1">
        <v>8</v>
      </c>
      <c r="B48" s="2" t="s">
        <v>37</v>
      </c>
      <c r="E48" s="2" t="s">
        <v>38</v>
      </c>
      <c r="F48" s="3">
        <v>3.5999999999999997E-2</v>
      </c>
      <c r="G48" s="4">
        <f>J12</f>
        <v>47.239999999999981</v>
      </c>
      <c r="H48" s="4"/>
      <c r="I48" s="4">
        <f t="shared" si="0"/>
        <v>1.7006399999999993</v>
      </c>
      <c r="J48" s="4"/>
      <c r="K48" s="4"/>
    </row>
    <row r="49" spans="1:11">
      <c r="A49" s="1"/>
      <c r="B49" s="2"/>
      <c r="E49" s="2" t="s">
        <v>39</v>
      </c>
      <c r="F49" s="3">
        <v>0.12</v>
      </c>
      <c r="G49" s="4">
        <f>J19</f>
        <v>0</v>
      </c>
      <c r="H49" s="4"/>
      <c r="I49" s="4">
        <f t="shared" si="0"/>
        <v>0</v>
      </c>
      <c r="J49" s="4"/>
      <c r="K49" s="4"/>
    </row>
    <row r="50" spans="1:11">
      <c r="A50" s="1">
        <v>9</v>
      </c>
      <c r="B50" s="2" t="s">
        <v>48</v>
      </c>
      <c r="E50" s="2" t="s">
        <v>38</v>
      </c>
      <c r="F50" s="3">
        <v>2.5000000000000001E-2</v>
      </c>
      <c r="G50" s="4">
        <f>J12</f>
        <v>47.239999999999981</v>
      </c>
      <c r="H50" s="4"/>
      <c r="I50" s="4">
        <f t="shared" si="0"/>
        <v>1.1809999999999996</v>
      </c>
      <c r="J50" s="4"/>
      <c r="K50" s="4"/>
    </row>
    <row r="51" spans="1:11">
      <c r="A51" s="1"/>
      <c r="B51" s="2"/>
      <c r="E51" s="2" t="s">
        <v>87</v>
      </c>
      <c r="F51" s="3">
        <f>F50</f>
        <v>2.5000000000000001E-2</v>
      </c>
      <c r="G51" s="4">
        <f>J25</f>
        <v>35.340000000000003</v>
      </c>
      <c r="H51" s="4"/>
      <c r="I51" s="4">
        <f t="shared" si="0"/>
        <v>0.88350000000000017</v>
      </c>
      <c r="J51" s="4"/>
      <c r="K51" s="4"/>
    </row>
    <row r="52" spans="1:11">
      <c r="A52" s="1"/>
      <c r="B52" s="726" t="s">
        <v>43</v>
      </c>
      <c r="C52" s="726"/>
      <c r="D52" s="8"/>
      <c r="E52" s="8"/>
      <c r="F52" s="8" t="s">
        <v>44</v>
      </c>
      <c r="G52" s="8"/>
      <c r="H52" s="8"/>
      <c r="I52" s="8"/>
      <c r="J52" s="4"/>
      <c r="K52" s="4"/>
    </row>
    <row r="53" spans="1:11">
      <c r="A53" s="1"/>
      <c r="B53" s="8" t="s">
        <v>4</v>
      </c>
      <c r="C53" s="16">
        <v>0</v>
      </c>
      <c r="D53" s="1" t="s">
        <v>5</v>
      </c>
      <c r="E53" s="1"/>
      <c r="F53" s="4"/>
      <c r="G53" s="4"/>
      <c r="H53" s="4"/>
      <c r="I53" s="4"/>
      <c r="J53" s="4"/>
      <c r="K53" s="4"/>
    </row>
    <row r="54" spans="1:11">
      <c r="A54" s="1"/>
      <c r="B54" s="2" t="s">
        <v>105</v>
      </c>
      <c r="C54" s="8"/>
      <c r="D54" s="16">
        <v>5.0000000000000001E-3</v>
      </c>
      <c r="E54" s="7"/>
      <c r="F54" s="9"/>
      <c r="G54" s="4"/>
      <c r="H54" s="4"/>
      <c r="I54" s="4"/>
      <c r="J54" s="4"/>
      <c r="K54" s="4"/>
    </row>
    <row r="55" spans="1:11">
      <c r="A55" s="1"/>
      <c r="B55" s="8" t="s">
        <v>106</v>
      </c>
      <c r="C55" s="8"/>
      <c r="D55" s="7"/>
      <c r="E55" s="7"/>
      <c r="F55" s="9"/>
      <c r="G55" s="4"/>
      <c r="H55" s="4"/>
      <c r="I55" s="4"/>
      <c r="J55" s="4"/>
      <c r="K55" s="4"/>
    </row>
    <row r="56" spans="1:11">
      <c r="B56" s="17" t="s">
        <v>107</v>
      </c>
      <c r="C56" s="17"/>
      <c r="D56" s="35">
        <v>7.4999999999999997E-3</v>
      </c>
    </row>
    <row r="57" spans="1:11">
      <c r="B57" s="17" t="s">
        <v>108</v>
      </c>
      <c r="C57" s="17"/>
      <c r="D57" s="35">
        <v>5.0000000000000001E-3</v>
      </c>
    </row>
  </sheetData>
  <mergeCells count="6">
    <mergeCell ref="B52:C52"/>
    <mergeCell ref="A1:J1"/>
    <mergeCell ref="A2:J2"/>
    <mergeCell ref="A5:J5"/>
    <mergeCell ref="A6:F6"/>
    <mergeCell ref="A4:Q4"/>
  </mergeCells>
  <phoneticPr fontId="9" type="noConversion"/>
  <pageMargins left="0.97" right="0.44" top="0.71" bottom="0.76" header="0.5" footer="0.5"/>
  <pageSetup orientation="portrait" horizontalDpi="4294967295"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V27"/>
  <sheetViews>
    <sheetView workbookViewId="0">
      <selection sqref="A1:N1"/>
    </sheetView>
  </sheetViews>
  <sheetFormatPr defaultColWidth="5.5703125" defaultRowHeight="12.75"/>
  <cols>
    <col min="1" max="1" width="23.42578125" style="217" customWidth="1"/>
    <col min="2" max="2" width="73.85546875" style="217" customWidth="1"/>
    <col min="3" max="3" width="5" style="217" customWidth="1"/>
    <col min="4" max="4" width="21.140625" style="217" customWidth="1"/>
    <col min="5" max="5" width="6" style="209" hidden="1" customWidth="1"/>
    <col min="6" max="6" width="9.140625" style="209" hidden="1" customWidth="1"/>
    <col min="7" max="7" width="11.7109375" style="209" customWidth="1"/>
    <col min="8" max="8" width="15.28515625" style="209" customWidth="1"/>
    <col min="9" max="255" width="9.140625" style="209" customWidth="1"/>
    <col min="256" max="16384" width="5.5703125" style="209"/>
  </cols>
  <sheetData>
    <row r="1" spans="1:256">
      <c r="A1" s="970" t="s">
        <v>95</v>
      </c>
      <c r="B1" s="970"/>
      <c r="C1" s="970"/>
      <c r="D1" s="970"/>
      <c r="E1" s="970"/>
      <c r="F1" s="208"/>
    </row>
    <row r="2" spans="1:256">
      <c r="A2" s="970" t="s">
        <v>450</v>
      </c>
      <c r="B2" s="970"/>
      <c r="C2" s="970"/>
      <c r="D2" s="970"/>
      <c r="E2" s="970"/>
    </row>
    <row r="3" spans="1:256">
      <c r="A3" s="971" t="s">
        <v>40</v>
      </c>
      <c r="B3" s="971"/>
      <c r="C3" s="971"/>
      <c r="D3" s="971"/>
      <c r="E3" s="210"/>
    </row>
    <row r="4" spans="1:256">
      <c r="A4" s="211"/>
      <c r="B4" s="212"/>
      <c r="C4" s="212"/>
      <c r="D4" s="212"/>
      <c r="E4" s="213"/>
    </row>
    <row r="5" spans="1:256" ht="48.75" customHeight="1">
      <c r="A5" s="972" t="str">
        <f>'[3]Schedule- B .'!A5</f>
        <v>Name of work:-   Construction of  Concrete Road with Appron Gutter works in Warehouse Complex at CHOPADA, Dist.-JALGAON</v>
      </c>
      <c r="B5" s="972"/>
      <c r="C5" s="972"/>
      <c r="D5" s="972"/>
      <c r="E5" s="166"/>
      <c r="F5" s="214"/>
      <c r="G5" s="214"/>
      <c r="H5" s="214"/>
      <c r="I5" s="215"/>
      <c r="J5" s="215"/>
      <c r="K5" s="215"/>
      <c r="L5" s="215"/>
      <c r="M5" s="216"/>
      <c r="N5" s="216"/>
      <c r="O5" s="216"/>
      <c r="P5" s="216"/>
      <c r="Q5" s="216"/>
      <c r="R5" s="216"/>
      <c r="S5" s="216"/>
      <c r="T5" s="216"/>
      <c r="U5" s="216"/>
      <c r="V5" s="216"/>
      <c r="W5" s="216"/>
      <c r="X5" s="216"/>
      <c r="Y5" s="216"/>
      <c r="Z5" s="216"/>
      <c r="AA5" s="216"/>
      <c r="AB5" s="216"/>
      <c r="AC5" s="216"/>
      <c r="AD5" s="216"/>
      <c r="AE5" s="216"/>
      <c r="AF5" s="216"/>
      <c r="AG5" s="216"/>
      <c r="AH5" s="216"/>
      <c r="AI5" s="216"/>
      <c r="AJ5" s="216"/>
      <c r="AK5" s="216"/>
      <c r="AL5" s="216"/>
      <c r="AM5" s="216"/>
      <c r="AN5" s="216"/>
      <c r="AO5" s="216"/>
      <c r="AP5" s="216"/>
      <c r="AQ5" s="216"/>
      <c r="AR5" s="216"/>
      <c r="AS5" s="216"/>
      <c r="AT5" s="216"/>
      <c r="AU5" s="216"/>
      <c r="AV5" s="216"/>
      <c r="AW5" s="216"/>
      <c r="AX5" s="216"/>
      <c r="AY5" s="216"/>
      <c r="AZ5" s="216"/>
      <c r="BA5" s="216"/>
      <c r="BB5" s="216"/>
      <c r="BC5" s="216"/>
      <c r="BD5" s="216"/>
      <c r="BE5" s="216"/>
      <c r="BF5" s="216"/>
      <c r="BG5" s="216"/>
      <c r="BH5" s="216"/>
      <c r="BI5" s="216"/>
      <c r="BJ5" s="216"/>
      <c r="BK5" s="216"/>
      <c r="BL5" s="216"/>
      <c r="BM5" s="216"/>
      <c r="BN5" s="216"/>
      <c r="BO5" s="216"/>
      <c r="BP5" s="216"/>
      <c r="BQ5" s="216"/>
      <c r="BR5" s="216"/>
      <c r="BS5" s="216"/>
      <c r="BT5" s="216"/>
      <c r="BU5" s="216"/>
      <c r="BV5" s="216"/>
      <c r="BW5" s="216"/>
      <c r="BX5" s="216"/>
      <c r="BY5" s="216"/>
      <c r="BZ5" s="216"/>
      <c r="CA5" s="216"/>
      <c r="CB5" s="216"/>
      <c r="CC5" s="216"/>
      <c r="CD5" s="216"/>
      <c r="CE5" s="216"/>
      <c r="CF5" s="216"/>
      <c r="CG5" s="216"/>
      <c r="CH5" s="216"/>
      <c r="CI5" s="216"/>
      <c r="CJ5" s="216"/>
      <c r="CK5" s="216"/>
      <c r="CL5" s="216"/>
      <c r="CM5" s="216"/>
      <c r="CN5" s="216"/>
      <c r="CO5" s="216"/>
      <c r="CP5" s="216"/>
      <c r="CQ5" s="216"/>
      <c r="CR5" s="216"/>
      <c r="CS5" s="216"/>
      <c r="CT5" s="216"/>
      <c r="CU5" s="216"/>
      <c r="CV5" s="216"/>
      <c r="CW5" s="216"/>
      <c r="CX5" s="216"/>
      <c r="CY5" s="216"/>
      <c r="CZ5" s="216"/>
      <c r="DA5" s="216"/>
      <c r="DB5" s="216"/>
      <c r="DC5" s="216"/>
      <c r="DD5" s="216"/>
      <c r="DE5" s="216"/>
      <c r="DF5" s="216"/>
      <c r="DG5" s="216"/>
      <c r="DH5" s="216"/>
      <c r="DI5" s="216"/>
      <c r="DJ5" s="216"/>
      <c r="DK5" s="216"/>
      <c r="DL5" s="216"/>
      <c r="DM5" s="216"/>
      <c r="DN5" s="216"/>
      <c r="DO5" s="216"/>
      <c r="DP5" s="216"/>
      <c r="DQ5" s="216"/>
      <c r="DR5" s="216"/>
      <c r="DS5" s="216"/>
      <c r="DT5" s="216"/>
      <c r="DU5" s="216"/>
      <c r="DV5" s="216"/>
      <c r="DW5" s="216"/>
      <c r="DX5" s="216"/>
      <c r="DY5" s="216"/>
      <c r="DZ5" s="216"/>
      <c r="EA5" s="216"/>
      <c r="EB5" s="216"/>
      <c r="EC5" s="216"/>
      <c r="ED5" s="216"/>
      <c r="EE5" s="216"/>
      <c r="EF5" s="216"/>
      <c r="EG5" s="216"/>
      <c r="EH5" s="216"/>
      <c r="EI5" s="216"/>
      <c r="EJ5" s="216"/>
      <c r="EK5" s="216"/>
      <c r="EL5" s="216"/>
      <c r="EM5" s="216"/>
      <c r="EN5" s="216"/>
      <c r="EO5" s="216"/>
      <c r="EP5" s="216"/>
      <c r="EQ5" s="216"/>
      <c r="ER5" s="216"/>
      <c r="ES5" s="216"/>
      <c r="ET5" s="216"/>
      <c r="EU5" s="216"/>
      <c r="EV5" s="216"/>
      <c r="EW5" s="216"/>
      <c r="EX5" s="216"/>
      <c r="EY5" s="216"/>
      <c r="EZ5" s="216"/>
      <c r="FA5" s="216"/>
      <c r="FB5" s="216"/>
      <c r="FC5" s="216"/>
      <c r="FD5" s="216"/>
      <c r="FE5" s="216"/>
      <c r="FF5" s="216"/>
      <c r="FG5" s="216"/>
      <c r="FH5" s="216"/>
      <c r="FI5" s="216"/>
      <c r="FJ5" s="216"/>
      <c r="FK5" s="216"/>
      <c r="FL5" s="216"/>
      <c r="FM5" s="216"/>
      <c r="FN5" s="216"/>
      <c r="FO5" s="216"/>
      <c r="FP5" s="216"/>
      <c r="FQ5" s="216"/>
      <c r="FR5" s="216"/>
      <c r="FS5" s="216"/>
      <c r="FT5" s="216"/>
      <c r="FU5" s="216"/>
      <c r="FV5" s="216"/>
      <c r="FW5" s="216"/>
      <c r="FX5" s="216"/>
      <c r="FY5" s="216"/>
      <c r="FZ5" s="216"/>
      <c r="GA5" s="216"/>
      <c r="GB5" s="216"/>
      <c r="GC5" s="216"/>
      <c r="GD5" s="216"/>
      <c r="GE5" s="216"/>
      <c r="GF5" s="216"/>
      <c r="GG5" s="216"/>
      <c r="GH5" s="216"/>
      <c r="GI5" s="216"/>
      <c r="GJ5" s="216"/>
      <c r="GK5" s="216"/>
      <c r="GL5" s="216"/>
      <c r="GM5" s="216"/>
      <c r="GN5" s="216"/>
      <c r="GO5" s="216"/>
      <c r="GP5" s="216"/>
      <c r="GQ5" s="216"/>
      <c r="GR5" s="216"/>
      <c r="GS5" s="216"/>
      <c r="GT5" s="216"/>
      <c r="GU5" s="216"/>
      <c r="GV5" s="216"/>
      <c r="GW5" s="216"/>
      <c r="GX5" s="216"/>
      <c r="GY5" s="216"/>
      <c r="GZ5" s="216"/>
      <c r="HA5" s="216"/>
      <c r="HB5" s="216"/>
      <c r="HC5" s="216"/>
      <c r="HD5" s="216"/>
      <c r="HE5" s="216"/>
      <c r="HF5" s="216"/>
      <c r="HG5" s="216"/>
      <c r="HH5" s="216"/>
      <c r="HI5" s="216"/>
      <c r="HJ5" s="216"/>
      <c r="HK5" s="216"/>
      <c r="HL5" s="216"/>
      <c r="HM5" s="216"/>
      <c r="HN5" s="216"/>
      <c r="HO5" s="216"/>
      <c r="HP5" s="216"/>
      <c r="HQ5" s="216"/>
      <c r="HR5" s="216"/>
      <c r="HS5" s="216"/>
      <c r="HT5" s="216"/>
      <c r="HU5" s="216"/>
      <c r="HV5" s="216"/>
      <c r="HW5" s="216"/>
      <c r="HX5" s="216"/>
      <c r="HY5" s="216"/>
      <c r="HZ5" s="216"/>
      <c r="IA5" s="216"/>
      <c r="IB5" s="216"/>
      <c r="IC5" s="216"/>
      <c r="ID5" s="216"/>
      <c r="IE5" s="216"/>
      <c r="IF5" s="216"/>
      <c r="IG5" s="216"/>
      <c r="IH5" s="216"/>
      <c r="II5" s="216"/>
      <c r="IJ5" s="216"/>
      <c r="IK5" s="216"/>
      <c r="IL5" s="216"/>
      <c r="IM5" s="216"/>
      <c r="IN5" s="216"/>
      <c r="IO5" s="216"/>
      <c r="IP5" s="216"/>
      <c r="IQ5" s="216"/>
      <c r="IR5" s="216"/>
      <c r="IS5" s="216"/>
      <c r="IT5" s="216"/>
      <c r="IU5" s="216"/>
      <c r="IV5" s="216"/>
    </row>
    <row r="7" spans="1:256" ht="18.75">
      <c r="A7" s="973" t="s">
        <v>532</v>
      </c>
      <c r="B7" s="973"/>
      <c r="C7" s="973"/>
      <c r="D7" s="973"/>
      <c r="E7" s="208"/>
    </row>
    <row r="8" spans="1:256">
      <c r="A8" s="218"/>
      <c r="B8" s="218"/>
      <c r="C8" s="218"/>
      <c r="D8" s="218"/>
    </row>
    <row r="9" spans="1:256" ht="20.25">
      <c r="A9" s="974" t="s">
        <v>533</v>
      </c>
      <c r="B9" s="974"/>
      <c r="C9" s="974"/>
      <c r="D9" s="974"/>
      <c r="E9" s="219"/>
    </row>
    <row r="11" spans="1:256" ht="15.75">
      <c r="A11" s="220"/>
      <c r="B11" s="220"/>
      <c r="C11" s="220"/>
      <c r="D11" s="220"/>
    </row>
    <row r="12" spans="1:256" ht="37.5" customHeight="1">
      <c r="A12" s="220"/>
      <c r="B12" s="221" t="str">
        <f>'[3]FS Rd'!B37</f>
        <v>SUBWORK I - Internal Roads</v>
      </c>
      <c r="C12" s="222" t="s">
        <v>14</v>
      </c>
      <c r="D12" s="223">
        <f>'[3]Schedule- B .'!G54</f>
        <v>5939338</v>
      </c>
      <c r="E12" s="224"/>
      <c r="F12" s="224"/>
      <c r="G12" s="225"/>
      <c r="H12" s="225"/>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224"/>
      <c r="AN12" s="224"/>
      <c r="AO12" s="224"/>
      <c r="AP12" s="224"/>
      <c r="AQ12" s="224"/>
      <c r="AR12" s="224"/>
      <c r="AS12" s="224"/>
      <c r="AT12" s="224"/>
      <c r="AU12" s="224"/>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c r="IN12" s="224"/>
      <c r="IO12" s="224"/>
      <c r="IP12" s="224"/>
      <c r="IQ12" s="224"/>
      <c r="IR12" s="224"/>
      <c r="IS12" s="224"/>
      <c r="IT12" s="224"/>
      <c r="IU12" s="224"/>
      <c r="IV12" s="224"/>
    </row>
    <row r="13" spans="1:256" ht="37.5" customHeight="1">
      <c r="A13" s="220"/>
      <c r="B13" s="221" t="str">
        <f>'[3]FS Rd'!B39</f>
        <v>SUBWORK  II -  Appron &amp; Gutter</v>
      </c>
      <c r="C13" s="222" t="s">
        <v>14</v>
      </c>
      <c r="D13" s="223">
        <f>'[3]Schedule- B .'!G77</f>
        <v>1414959</v>
      </c>
      <c r="E13" s="224"/>
      <c r="F13" s="224"/>
      <c r="G13" s="225"/>
      <c r="H13" s="225"/>
      <c r="I13" s="224"/>
      <c r="J13" s="224"/>
      <c r="K13" s="224"/>
      <c r="L13" s="224"/>
      <c r="M13" s="224"/>
      <c r="N13" s="224"/>
      <c r="O13" s="224"/>
      <c r="P13" s="224"/>
      <c r="Q13" s="224"/>
      <c r="R13" s="224"/>
      <c r="S13" s="224"/>
      <c r="T13" s="224"/>
      <c r="U13" s="224"/>
      <c r="V13" s="224"/>
      <c r="W13" s="224"/>
      <c r="X13" s="224"/>
      <c r="Y13" s="224"/>
      <c r="Z13" s="224"/>
      <c r="AA13" s="224"/>
      <c r="AB13" s="224"/>
      <c r="AC13" s="224"/>
      <c r="AD13" s="224"/>
      <c r="AE13" s="224"/>
      <c r="AF13" s="224"/>
      <c r="AG13" s="224"/>
      <c r="AH13" s="224"/>
      <c r="AI13" s="224"/>
      <c r="AJ13" s="224"/>
      <c r="AK13" s="224"/>
      <c r="AL13" s="224"/>
      <c r="AM13" s="224"/>
      <c r="AN13" s="224"/>
      <c r="AO13" s="224"/>
      <c r="AP13" s="224"/>
      <c r="AQ13" s="224"/>
      <c r="AR13" s="224"/>
      <c r="AS13" s="224"/>
      <c r="AT13" s="224"/>
      <c r="AU13" s="224"/>
      <c r="AV13" s="224"/>
      <c r="AW13" s="224"/>
      <c r="AX13" s="224"/>
      <c r="AY13" s="224"/>
      <c r="AZ13" s="224"/>
      <c r="BA13" s="224"/>
      <c r="BB13" s="224"/>
      <c r="BC13" s="224"/>
      <c r="BD13" s="224"/>
      <c r="BE13" s="224"/>
      <c r="BF13" s="224"/>
      <c r="BG13" s="224"/>
      <c r="BH13" s="224"/>
      <c r="BI13" s="224"/>
      <c r="BJ13" s="224"/>
      <c r="BK13" s="224"/>
      <c r="BL13" s="224"/>
      <c r="BM13" s="224"/>
      <c r="BN13" s="224"/>
      <c r="BO13" s="224"/>
      <c r="BP13" s="224"/>
      <c r="BQ13" s="224"/>
      <c r="BR13" s="224"/>
      <c r="BS13" s="224"/>
      <c r="BT13" s="224"/>
      <c r="BU13" s="224"/>
      <c r="BV13" s="224"/>
      <c r="BW13" s="224"/>
      <c r="BX13" s="224"/>
      <c r="BY13" s="224"/>
      <c r="BZ13" s="224"/>
      <c r="CA13" s="224"/>
      <c r="CB13" s="224"/>
      <c r="CC13" s="224"/>
      <c r="CD13" s="224"/>
      <c r="CE13" s="224"/>
      <c r="CF13" s="224"/>
      <c r="CG13" s="224"/>
      <c r="CH13" s="224"/>
      <c r="CI13" s="224"/>
      <c r="CJ13" s="224"/>
      <c r="CK13" s="224"/>
      <c r="CL13" s="224"/>
      <c r="CM13" s="224"/>
      <c r="CN13" s="224"/>
      <c r="CO13" s="224"/>
      <c r="CP13" s="224"/>
      <c r="CQ13" s="224"/>
      <c r="CR13" s="224"/>
      <c r="CS13" s="224"/>
      <c r="CT13" s="224"/>
      <c r="CU13" s="224"/>
      <c r="CV13" s="224"/>
      <c r="CW13" s="224"/>
      <c r="CX13" s="224"/>
      <c r="CY13" s="224"/>
      <c r="CZ13" s="224"/>
      <c r="DA13" s="224"/>
      <c r="DB13" s="224"/>
      <c r="DC13" s="224"/>
      <c r="DD13" s="224"/>
      <c r="DE13" s="224"/>
      <c r="DF13" s="224"/>
      <c r="DG13" s="224"/>
      <c r="DH13" s="224"/>
      <c r="DI13" s="224"/>
      <c r="DJ13" s="224"/>
      <c r="DK13" s="224"/>
      <c r="DL13" s="224"/>
      <c r="DM13" s="224"/>
      <c r="DN13" s="224"/>
      <c r="DO13" s="224"/>
      <c r="DP13" s="224"/>
      <c r="DQ13" s="224"/>
      <c r="DR13" s="224"/>
      <c r="DS13" s="224"/>
      <c r="DT13" s="224"/>
      <c r="DU13" s="224"/>
      <c r="DV13" s="224"/>
      <c r="DW13" s="224"/>
      <c r="DX13" s="224"/>
      <c r="DY13" s="224"/>
      <c r="DZ13" s="224"/>
      <c r="EA13" s="224"/>
      <c r="EB13" s="224"/>
      <c r="EC13" s="224"/>
      <c r="ED13" s="224"/>
      <c r="EE13" s="224"/>
      <c r="EF13" s="224"/>
      <c r="EG13" s="224"/>
      <c r="EH13" s="224"/>
      <c r="EI13" s="224"/>
      <c r="EJ13" s="224"/>
      <c r="EK13" s="224"/>
      <c r="EL13" s="224"/>
      <c r="EM13" s="224"/>
      <c r="EN13" s="224"/>
      <c r="EO13" s="224"/>
      <c r="EP13" s="224"/>
      <c r="EQ13" s="224"/>
      <c r="ER13" s="224"/>
      <c r="ES13" s="224"/>
      <c r="ET13" s="224"/>
      <c r="EU13" s="224"/>
      <c r="EV13" s="224"/>
      <c r="EW13" s="224"/>
      <c r="EX13" s="224"/>
      <c r="EY13" s="224"/>
      <c r="EZ13" s="224"/>
      <c r="FA13" s="224"/>
      <c r="FB13" s="224"/>
      <c r="FC13" s="224"/>
      <c r="FD13" s="224"/>
      <c r="FE13" s="224"/>
      <c r="FF13" s="224"/>
      <c r="FG13" s="224"/>
      <c r="FH13" s="224"/>
      <c r="FI13" s="224"/>
      <c r="FJ13" s="224"/>
      <c r="FK13" s="224"/>
      <c r="FL13" s="224"/>
      <c r="FM13" s="224"/>
      <c r="FN13" s="224"/>
      <c r="FO13" s="224"/>
      <c r="FP13" s="224"/>
      <c r="FQ13" s="224"/>
      <c r="FR13" s="224"/>
      <c r="FS13" s="224"/>
      <c r="FT13" s="224"/>
      <c r="FU13" s="224"/>
      <c r="FV13" s="224"/>
      <c r="FW13" s="224"/>
      <c r="FX13" s="224"/>
      <c r="FY13" s="224"/>
      <c r="FZ13" s="224"/>
      <c r="GA13" s="224"/>
      <c r="GB13" s="224"/>
      <c r="GC13" s="224"/>
      <c r="GD13" s="224"/>
      <c r="GE13" s="224"/>
      <c r="GF13" s="224"/>
      <c r="GG13" s="224"/>
      <c r="GH13" s="224"/>
      <c r="GI13" s="224"/>
      <c r="GJ13" s="224"/>
      <c r="GK13" s="224"/>
      <c r="GL13" s="224"/>
      <c r="GM13" s="224"/>
      <c r="GN13" s="224"/>
      <c r="GO13" s="224"/>
      <c r="GP13" s="224"/>
      <c r="GQ13" s="224"/>
      <c r="GR13" s="224"/>
      <c r="GS13" s="224"/>
      <c r="GT13" s="224"/>
      <c r="GU13" s="224"/>
      <c r="GV13" s="224"/>
      <c r="GW13" s="224"/>
      <c r="GX13" s="224"/>
      <c r="GY13" s="224"/>
      <c r="GZ13" s="224"/>
      <c r="HA13" s="224"/>
      <c r="HB13" s="224"/>
      <c r="HC13" s="224"/>
      <c r="HD13" s="224"/>
      <c r="HE13" s="224"/>
      <c r="HF13" s="224"/>
      <c r="HG13" s="224"/>
      <c r="HH13" s="224"/>
      <c r="HI13" s="224"/>
      <c r="HJ13" s="224"/>
      <c r="HK13" s="224"/>
      <c r="HL13" s="224"/>
      <c r="HM13" s="224"/>
      <c r="HN13" s="224"/>
      <c r="HO13" s="224"/>
      <c r="HP13" s="224"/>
      <c r="HQ13" s="224"/>
      <c r="HR13" s="224"/>
      <c r="HS13" s="224"/>
      <c r="HT13" s="224"/>
      <c r="HU13" s="224"/>
      <c r="HV13" s="224"/>
      <c r="HW13" s="224"/>
      <c r="HX13" s="224"/>
      <c r="HY13" s="224"/>
      <c r="HZ13" s="224"/>
      <c r="IA13" s="224"/>
      <c r="IB13" s="224"/>
      <c r="IC13" s="224"/>
      <c r="ID13" s="224"/>
      <c r="IE13" s="224"/>
      <c r="IF13" s="224"/>
      <c r="IG13" s="224"/>
      <c r="IH13" s="224"/>
      <c r="II13" s="224"/>
      <c r="IJ13" s="224"/>
      <c r="IK13" s="224"/>
      <c r="IL13" s="224"/>
      <c r="IM13" s="224"/>
      <c r="IN13" s="224"/>
      <c r="IO13" s="224"/>
      <c r="IP13" s="224"/>
      <c r="IQ13" s="224"/>
      <c r="IR13" s="224"/>
      <c r="IS13" s="224"/>
      <c r="IT13" s="224"/>
      <c r="IU13" s="224"/>
      <c r="IV13" s="224"/>
    </row>
    <row r="14" spans="1:256" ht="37.5" customHeight="1">
      <c r="A14" s="220"/>
      <c r="B14" s="221" t="str">
        <f>'[3]Abstract road'!B19</f>
        <v>SUBWORK  III :- Material Lab Testing charges</v>
      </c>
      <c r="C14" s="222" t="s">
        <v>14</v>
      </c>
      <c r="D14" s="223">
        <f>'[3]Schedule- B .'!G105</f>
        <v>103550</v>
      </c>
      <c r="E14" s="224"/>
      <c r="F14" s="224"/>
      <c r="G14" s="225"/>
      <c r="H14" s="225"/>
      <c r="I14" s="224"/>
      <c r="J14" s="224"/>
      <c r="K14" s="224"/>
      <c r="L14" s="224"/>
      <c r="M14" s="224"/>
      <c r="N14" s="224"/>
      <c r="O14" s="224"/>
      <c r="P14" s="224"/>
      <c r="Q14" s="224"/>
      <c r="R14" s="224"/>
      <c r="S14" s="224"/>
      <c r="T14" s="224"/>
      <c r="U14" s="224"/>
      <c r="V14" s="224"/>
      <c r="W14" s="224"/>
      <c r="X14" s="224"/>
      <c r="Y14" s="224"/>
      <c r="Z14" s="224"/>
      <c r="AA14" s="224"/>
      <c r="AB14" s="224"/>
      <c r="AC14" s="224"/>
      <c r="AD14" s="224"/>
      <c r="AE14" s="224"/>
      <c r="AF14" s="224"/>
      <c r="AG14" s="224"/>
      <c r="AH14" s="224"/>
      <c r="AI14" s="224"/>
      <c r="AJ14" s="224"/>
      <c r="AK14" s="224"/>
      <c r="AL14" s="224"/>
      <c r="AM14" s="224"/>
      <c r="AN14" s="224"/>
      <c r="AO14" s="224"/>
      <c r="AP14" s="224"/>
      <c r="AQ14" s="224"/>
      <c r="AR14" s="224"/>
      <c r="AS14" s="224"/>
      <c r="AT14" s="224"/>
      <c r="AU14" s="224"/>
      <c r="AV14" s="224"/>
      <c r="AW14" s="224"/>
      <c r="AX14" s="224"/>
      <c r="AY14" s="224"/>
      <c r="AZ14" s="224"/>
      <c r="BA14" s="224"/>
      <c r="BB14" s="224"/>
      <c r="BC14" s="224"/>
      <c r="BD14" s="224"/>
      <c r="BE14" s="224"/>
      <c r="BF14" s="224"/>
      <c r="BG14" s="224"/>
      <c r="BH14" s="224"/>
      <c r="BI14" s="224"/>
      <c r="BJ14" s="224"/>
      <c r="BK14" s="224"/>
      <c r="BL14" s="224"/>
      <c r="BM14" s="224"/>
      <c r="BN14" s="224"/>
      <c r="BO14" s="224"/>
      <c r="BP14" s="224"/>
      <c r="BQ14" s="224"/>
      <c r="BR14" s="224"/>
      <c r="BS14" s="224"/>
      <c r="BT14" s="224"/>
      <c r="BU14" s="224"/>
      <c r="BV14" s="224"/>
      <c r="BW14" s="224"/>
      <c r="BX14" s="224"/>
      <c r="BY14" s="224"/>
      <c r="BZ14" s="224"/>
      <c r="CA14" s="224"/>
      <c r="CB14" s="224"/>
      <c r="CC14" s="224"/>
      <c r="CD14" s="224"/>
      <c r="CE14" s="224"/>
      <c r="CF14" s="224"/>
      <c r="CG14" s="224"/>
      <c r="CH14" s="224"/>
      <c r="CI14" s="224"/>
      <c r="CJ14" s="224"/>
      <c r="CK14" s="224"/>
      <c r="CL14" s="224"/>
      <c r="CM14" s="224"/>
      <c r="CN14" s="224"/>
      <c r="CO14" s="224"/>
      <c r="CP14" s="224"/>
      <c r="CQ14" s="224"/>
      <c r="CR14" s="224"/>
      <c r="CS14" s="224"/>
      <c r="CT14" s="224"/>
      <c r="CU14" s="224"/>
      <c r="CV14" s="224"/>
      <c r="CW14" s="224"/>
      <c r="CX14" s="224"/>
      <c r="CY14" s="224"/>
      <c r="CZ14" s="224"/>
      <c r="DA14" s="224"/>
      <c r="DB14" s="224"/>
      <c r="DC14" s="224"/>
      <c r="DD14" s="224"/>
      <c r="DE14" s="224"/>
      <c r="DF14" s="224"/>
      <c r="DG14" s="224"/>
      <c r="DH14" s="224"/>
      <c r="DI14" s="224"/>
      <c r="DJ14" s="224"/>
      <c r="DK14" s="224"/>
      <c r="DL14" s="224"/>
      <c r="DM14" s="224"/>
      <c r="DN14" s="224"/>
      <c r="DO14" s="224"/>
      <c r="DP14" s="224"/>
      <c r="DQ14" s="224"/>
      <c r="DR14" s="224"/>
      <c r="DS14" s="224"/>
      <c r="DT14" s="224"/>
      <c r="DU14" s="224"/>
      <c r="DV14" s="224"/>
      <c r="DW14" s="224"/>
      <c r="DX14" s="224"/>
      <c r="DY14" s="224"/>
      <c r="DZ14" s="224"/>
      <c r="EA14" s="224"/>
      <c r="EB14" s="224"/>
      <c r="EC14" s="224"/>
      <c r="ED14" s="224"/>
      <c r="EE14" s="224"/>
      <c r="EF14" s="224"/>
      <c r="EG14" s="224"/>
      <c r="EH14" s="224"/>
      <c r="EI14" s="224"/>
      <c r="EJ14" s="224"/>
      <c r="EK14" s="224"/>
      <c r="EL14" s="224"/>
      <c r="EM14" s="224"/>
      <c r="EN14" s="224"/>
      <c r="EO14" s="224"/>
      <c r="EP14" s="224"/>
      <c r="EQ14" s="224"/>
      <c r="ER14" s="224"/>
      <c r="ES14" s="224"/>
      <c r="ET14" s="224"/>
      <c r="EU14" s="224"/>
      <c r="EV14" s="224"/>
      <c r="EW14" s="224"/>
      <c r="EX14" s="224"/>
      <c r="EY14" s="224"/>
      <c r="EZ14" s="224"/>
      <c r="FA14" s="224"/>
      <c r="FB14" s="224"/>
      <c r="FC14" s="224"/>
      <c r="FD14" s="224"/>
      <c r="FE14" s="224"/>
      <c r="FF14" s="224"/>
      <c r="FG14" s="224"/>
      <c r="FH14" s="224"/>
      <c r="FI14" s="224"/>
      <c r="FJ14" s="224"/>
      <c r="FK14" s="224"/>
      <c r="FL14" s="224"/>
      <c r="FM14" s="224"/>
      <c r="FN14" s="224"/>
      <c r="FO14" s="224"/>
      <c r="FP14" s="224"/>
      <c r="FQ14" s="224"/>
      <c r="FR14" s="224"/>
      <c r="FS14" s="224"/>
      <c r="FT14" s="224"/>
      <c r="FU14" s="224"/>
      <c r="FV14" s="224"/>
      <c r="FW14" s="224"/>
      <c r="FX14" s="224"/>
      <c r="FY14" s="224"/>
      <c r="FZ14" s="224"/>
      <c r="GA14" s="224"/>
      <c r="GB14" s="224"/>
      <c r="GC14" s="224"/>
      <c r="GD14" s="224"/>
      <c r="GE14" s="224"/>
      <c r="GF14" s="224"/>
      <c r="GG14" s="224"/>
      <c r="GH14" s="224"/>
      <c r="GI14" s="224"/>
      <c r="GJ14" s="224"/>
      <c r="GK14" s="224"/>
      <c r="GL14" s="224"/>
      <c r="GM14" s="224"/>
      <c r="GN14" s="224"/>
      <c r="GO14" s="224"/>
      <c r="GP14" s="224"/>
      <c r="GQ14" s="224"/>
      <c r="GR14" s="224"/>
      <c r="GS14" s="224"/>
      <c r="GT14" s="224"/>
      <c r="GU14" s="224"/>
      <c r="GV14" s="224"/>
      <c r="GW14" s="224"/>
      <c r="GX14" s="224"/>
      <c r="GY14" s="224"/>
      <c r="GZ14" s="224"/>
      <c r="HA14" s="224"/>
      <c r="HB14" s="224"/>
      <c r="HC14" s="224"/>
      <c r="HD14" s="224"/>
      <c r="HE14" s="224"/>
      <c r="HF14" s="224"/>
      <c r="HG14" s="224"/>
      <c r="HH14" s="224"/>
      <c r="HI14" s="224"/>
      <c r="HJ14" s="224"/>
      <c r="HK14" s="224"/>
      <c r="HL14" s="224"/>
      <c r="HM14" s="224"/>
      <c r="HN14" s="224"/>
      <c r="HO14" s="224"/>
      <c r="HP14" s="224"/>
      <c r="HQ14" s="224"/>
      <c r="HR14" s="224"/>
      <c r="HS14" s="224"/>
      <c r="HT14" s="224"/>
      <c r="HU14" s="224"/>
      <c r="HV14" s="224"/>
      <c r="HW14" s="224"/>
      <c r="HX14" s="224"/>
      <c r="HY14" s="224"/>
      <c r="HZ14" s="224"/>
      <c r="IA14" s="224"/>
      <c r="IB14" s="224"/>
      <c r="IC14" s="224"/>
      <c r="ID14" s="224"/>
      <c r="IE14" s="224"/>
      <c r="IF14" s="224"/>
      <c r="IG14" s="224"/>
      <c r="IH14" s="224"/>
      <c r="II14" s="224"/>
      <c r="IJ14" s="224"/>
      <c r="IK14" s="224"/>
      <c r="IL14" s="224"/>
      <c r="IM14" s="224"/>
      <c r="IN14" s="224"/>
      <c r="IO14" s="224"/>
      <c r="IP14" s="224"/>
      <c r="IQ14" s="224"/>
      <c r="IR14" s="224"/>
      <c r="IS14" s="224"/>
      <c r="IT14" s="224"/>
      <c r="IU14" s="224"/>
      <c r="IV14" s="224"/>
    </row>
    <row r="15" spans="1:256" ht="37.5" customHeight="1">
      <c r="A15" s="220"/>
      <c r="B15" s="221" t="str">
        <f>'[3]Abstract road'!B21</f>
        <v>SUBWORK IV :- Royalty Charges</v>
      </c>
      <c r="C15" s="222" t="s">
        <v>14</v>
      </c>
      <c r="D15" s="223">
        <f>'[3]Schedule- B .'!G110</f>
        <v>156235</v>
      </c>
      <c r="E15" s="224"/>
      <c r="F15" s="224"/>
      <c r="G15" s="225"/>
      <c r="H15" s="225"/>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c r="CF15" s="224"/>
      <c r="CG15" s="224"/>
      <c r="CH15" s="224"/>
      <c r="CI15" s="224"/>
      <c r="CJ15" s="224"/>
      <c r="CK15" s="224"/>
      <c r="CL15" s="224"/>
      <c r="CM15" s="224"/>
      <c r="CN15" s="224"/>
      <c r="CO15" s="224"/>
      <c r="CP15" s="224"/>
      <c r="CQ15" s="224"/>
      <c r="CR15" s="224"/>
      <c r="CS15" s="224"/>
      <c r="CT15" s="224"/>
      <c r="CU15" s="224"/>
      <c r="CV15" s="224"/>
      <c r="CW15" s="224"/>
      <c r="CX15" s="224"/>
      <c r="CY15" s="224"/>
      <c r="CZ15" s="224"/>
      <c r="DA15" s="224"/>
      <c r="DB15" s="224"/>
      <c r="DC15" s="224"/>
      <c r="DD15" s="224"/>
      <c r="DE15" s="224"/>
      <c r="DF15" s="224"/>
      <c r="DG15" s="224"/>
      <c r="DH15" s="224"/>
      <c r="DI15" s="224"/>
      <c r="DJ15" s="224"/>
      <c r="DK15" s="224"/>
      <c r="DL15" s="224"/>
      <c r="DM15" s="224"/>
      <c r="DN15" s="224"/>
      <c r="DO15" s="224"/>
      <c r="DP15" s="224"/>
      <c r="DQ15" s="224"/>
      <c r="DR15" s="224"/>
      <c r="DS15" s="224"/>
      <c r="DT15" s="224"/>
      <c r="DU15" s="224"/>
      <c r="DV15" s="224"/>
      <c r="DW15" s="224"/>
      <c r="DX15" s="224"/>
      <c r="DY15" s="224"/>
      <c r="DZ15" s="224"/>
      <c r="EA15" s="224"/>
      <c r="EB15" s="224"/>
      <c r="EC15" s="224"/>
      <c r="ED15" s="224"/>
      <c r="EE15" s="224"/>
      <c r="EF15" s="224"/>
      <c r="EG15" s="224"/>
      <c r="EH15" s="224"/>
      <c r="EI15" s="224"/>
      <c r="EJ15" s="224"/>
      <c r="EK15" s="224"/>
      <c r="EL15" s="224"/>
      <c r="EM15" s="224"/>
      <c r="EN15" s="224"/>
      <c r="EO15" s="224"/>
      <c r="EP15" s="224"/>
      <c r="EQ15" s="224"/>
      <c r="ER15" s="224"/>
      <c r="ES15" s="224"/>
      <c r="ET15" s="224"/>
      <c r="EU15" s="224"/>
      <c r="EV15" s="224"/>
      <c r="EW15" s="224"/>
      <c r="EX15" s="224"/>
      <c r="EY15" s="224"/>
      <c r="EZ15" s="224"/>
      <c r="FA15" s="224"/>
      <c r="FB15" s="224"/>
      <c r="FC15" s="224"/>
      <c r="FD15" s="224"/>
      <c r="FE15" s="224"/>
      <c r="FF15" s="224"/>
      <c r="FG15" s="224"/>
      <c r="FH15" s="224"/>
      <c r="FI15" s="224"/>
      <c r="FJ15" s="224"/>
      <c r="FK15" s="224"/>
      <c r="FL15" s="224"/>
      <c r="FM15" s="224"/>
      <c r="FN15" s="224"/>
      <c r="FO15" s="224"/>
      <c r="FP15" s="224"/>
      <c r="FQ15" s="224"/>
      <c r="FR15" s="224"/>
      <c r="FS15" s="224"/>
      <c r="FT15" s="224"/>
      <c r="FU15" s="224"/>
      <c r="FV15" s="224"/>
      <c r="FW15" s="224"/>
      <c r="FX15" s="224"/>
      <c r="FY15" s="224"/>
      <c r="FZ15" s="224"/>
      <c r="GA15" s="224"/>
      <c r="GB15" s="224"/>
      <c r="GC15" s="224"/>
      <c r="GD15" s="224"/>
      <c r="GE15" s="224"/>
      <c r="GF15" s="224"/>
      <c r="GG15" s="224"/>
      <c r="GH15" s="224"/>
      <c r="GI15" s="224"/>
      <c r="GJ15" s="224"/>
      <c r="GK15" s="224"/>
      <c r="GL15" s="224"/>
      <c r="GM15" s="224"/>
      <c r="GN15" s="224"/>
      <c r="GO15" s="224"/>
      <c r="GP15" s="224"/>
      <c r="GQ15" s="224"/>
      <c r="GR15" s="224"/>
      <c r="GS15" s="224"/>
      <c r="GT15" s="224"/>
      <c r="GU15" s="224"/>
      <c r="GV15" s="224"/>
      <c r="GW15" s="224"/>
      <c r="GX15" s="224"/>
      <c r="GY15" s="224"/>
      <c r="GZ15" s="224"/>
      <c r="HA15" s="224"/>
      <c r="HB15" s="224"/>
      <c r="HC15" s="224"/>
      <c r="HD15" s="224"/>
      <c r="HE15" s="224"/>
      <c r="HF15" s="224"/>
      <c r="HG15" s="224"/>
      <c r="HH15" s="224"/>
      <c r="HI15" s="224"/>
      <c r="HJ15" s="224"/>
      <c r="HK15" s="224"/>
      <c r="HL15" s="224"/>
      <c r="HM15" s="224"/>
      <c r="HN15" s="224"/>
      <c r="HO15" s="224"/>
      <c r="HP15" s="224"/>
      <c r="HQ15" s="224"/>
      <c r="HR15" s="224"/>
      <c r="HS15" s="224"/>
      <c r="HT15" s="224"/>
      <c r="HU15" s="224"/>
      <c r="HV15" s="224"/>
      <c r="HW15" s="224"/>
      <c r="HX15" s="224"/>
      <c r="HY15" s="224"/>
      <c r="HZ15" s="224"/>
      <c r="IA15" s="224"/>
      <c r="IB15" s="224"/>
      <c r="IC15" s="224"/>
      <c r="ID15" s="224"/>
      <c r="IE15" s="224"/>
      <c r="IF15" s="224"/>
      <c r="IG15" s="224"/>
      <c r="IH15" s="224"/>
      <c r="II15" s="224"/>
      <c r="IJ15" s="224"/>
      <c r="IK15" s="224"/>
      <c r="IL15" s="224"/>
      <c r="IM15" s="224"/>
      <c r="IN15" s="224"/>
      <c r="IO15" s="224"/>
      <c r="IP15" s="224"/>
      <c r="IQ15" s="224"/>
      <c r="IR15" s="224"/>
      <c r="IS15" s="224"/>
      <c r="IT15" s="224"/>
      <c r="IU15" s="224"/>
      <c r="IV15" s="224"/>
    </row>
    <row r="16" spans="1:256" ht="16.5" thickBot="1">
      <c r="A16" s="226"/>
      <c r="B16" s="226" t="s">
        <v>51</v>
      </c>
      <c r="C16" s="226" t="s">
        <v>14</v>
      </c>
      <c r="D16" s="227">
        <f>SUM(D12:D15)</f>
        <v>7614082</v>
      </c>
      <c r="H16" s="225"/>
    </row>
    <row r="17" spans="1:256" ht="16.5" thickTop="1">
      <c r="A17" s="220"/>
      <c r="B17" s="220"/>
      <c r="C17" s="220"/>
      <c r="D17" s="228"/>
    </row>
    <row r="18" spans="1:256" ht="15.75">
      <c r="A18" s="220"/>
      <c r="B18" s="220"/>
      <c r="C18" s="220"/>
      <c r="D18" s="228"/>
    </row>
    <row r="19" spans="1:256" ht="30.75" customHeight="1">
      <c r="A19" s="229" t="s">
        <v>534</v>
      </c>
      <c r="B19" s="968" t="s">
        <v>535</v>
      </c>
      <c r="C19" s="968"/>
      <c r="D19" s="968"/>
      <c r="H19" s="230" t="e">
        <f ca="1">NumberToWord(D16)</f>
        <v>#NAME?</v>
      </c>
      <c r="I19" s="230"/>
    </row>
    <row r="20" spans="1:256">
      <c r="D20" s="231"/>
    </row>
    <row r="21" spans="1:256" ht="26.25" customHeight="1">
      <c r="D21" s="231"/>
    </row>
    <row r="22" spans="1:256">
      <c r="A22" s="969"/>
      <c r="B22" s="969"/>
      <c r="C22" s="969"/>
      <c r="D22" s="969"/>
      <c r="E22" s="232"/>
      <c r="F22" s="232"/>
      <c r="G22" s="232"/>
      <c r="H22" s="232"/>
      <c r="I22" s="232"/>
      <c r="J22" s="232"/>
      <c r="K22" s="232"/>
      <c r="L22" s="232"/>
      <c r="M22" s="232"/>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2"/>
      <c r="AL22" s="232"/>
      <c r="AM22" s="232"/>
      <c r="AN22" s="232"/>
      <c r="AO22" s="232"/>
      <c r="AP22" s="232"/>
      <c r="AQ22" s="232"/>
      <c r="AR22" s="232"/>
      <c r="AS22" s="232"/>
      <c r="AT22" s="232"/>
      <c r="AU22" s="232"/>
      <c r="AV22" s="232"/>
      <c r="AW22" s="232"/>
      <c r="AX22" s="232"/>
      <c r="AY22" s="232"/>
      <c r="AZ22" s="232"/>
      <c r="BA22" s="232"/>
      <c r="BB22" s="232"/>
      <c r="BC22" s="232"/>
      <c r="BD22" s="232"/>
      <c r="BE22" s="232"/>
      <c r="BF22" s="232"/>
      <c r="BG22" s="232"/>
      <c r="BH22" s="232"/>
      <c r="BI22" s="232"/>
      <c r="BJ22" s="232"/>
      <c r="BK22" s="232"/>
      <c r="BL22" s="232"/>
      <c r="BM22" s="232"/>
      <c r="BN22" s="232"/>
      <c r="BO22" s="232"/>
      <c r="BP22" s="232"/>
      <c r="BQ22" s="232"/>
      <c r="BR22" s="232"/>
      <c r="BS22" s="232"/>
      <c r="BT22" s="232"/>
      <c r="BU22" s="232"/>
      <c r="BV22" s="232"/>
      <c r="BW22" s="232"/>
      <c r="BX22" s="232"/>
      <c r="BY22" s="232"/>
      <c r="BZ22" s="232"/>
      <c r="CA22" s="232"/>
      <c r="CB22" s="232"/>
      <c r="CC22" s="232"/>
      <c r="CD22" s="232"/>
      <c r="CE22" s="232"/>
      <c r="CF22" s="232"/>
      <c r="CG22" s="232"/>
      <c r="CH22" s="232"/>
      <c r="CI22" s="232"/>
      <c r="CJ22" s="232"/>
      <c r="CK22" s="232"/>
      <c r="CL22" s="232"/>
      <c r="CM22" s="232"/>
      <c r="CN22" s="232"/>
      <c r="CO22" s="232"/>
      <c r="CP22" s="232"/>
      <c r="CQ22" s="232"/>
      <c r="CR22" s="232"/>
      <c r="CS22" s="232"/>
      <c r="CT22" s="232"/>
      <c r="CU22" s="232"/>
      <c r="CV22" s="232"/>
      <c r="CW22" s="232"/>
      <c r="CX22" s="232"/>
      <c r="CY22" s="232"/>
      <c r="CZ22" s="232"/>
      <c r="DA22" s="232"/>
      <c r="DB22" s="232"/>
      <c r="DC22" s="232"/>
      <c r="DD22" s="232"/>
      <c r="DE22" s="232"/>
      <c r="DF22" s="232"/>
      <c r="DG22" s="232"/>
      <c r="DH22" s="232"/>
      <c r="DI22" s="232"/>
      <c r="DJ22" s="232"/>
      <c r="DK22" s="232"/>
      <c r="DL22" s="232"/>
      <c r="DM22" s="232"/>
      <c r="DN22" s="232"/>
      <c r="DO22" s="232"/>
      <c r="DP22" s="232"/>
      <c r="DQ22" s="232"/>
      <c r="DR22" s="232"/>
      <c r="DS22" s="232"/>
      <c r="DT22" s="232"/>
      <c r="DU22" s="232"/>
      <c r="DV22" s="232"/>
      <c r="DW22" s="232"/>
      <c r="DX22" s="232"/>
      <c r="DY22" s="232"/>
      <c r="DZ22" s="232"/>
      <c r="EA22" s="232"/>
      <c r="EB22" s="232"/>
      <c r="EC22" s="232"/>
      <c r="ED22" s="232"/>
      <c r="EE22" s="232"/>
      <c r="EF22" s="232"/>
      <c r="EG22" s="232"/>
      <c r="EH22" s="232"/>
      <c r="EI22" s="232"/>
      <c r="EJ22" s="232"/>
      <c r="EK22" s="232"/>
      <c r="EL22" s="232"/>
      <c r="EM22" s="232"/>
      <c r="EN22" s="232"/>
      <c r="EO22" s="232"/>
      <c r="EP22" s="232"/>
      <c r="EQ22" s="232"/>
      <c r="ER22" s="232"/>
      <c r="ES22" s="232"/>
      <c r="ET22" s="232"/>
      <c r="EU22" s="232"/>
      <c r="EV22" s="232"/>
      <c r="EW22" s="232"/>
      <c r="EX22" s="232"/>
      <c r="EY22" s="232"/>
      <c r="EZ22" s="232"/>
      <c r="FA22" s="232"/>
      <c r="FB22" s="232"/>
      <c r="FC22" s="232"/>
      <c r="FD22" s="232"/>
      <c r="FE22" s="232"/>
      <c r="FF22" s="232"/>
      <c r="FG22" s="232"/>
      <c r="FH22" s="232"/>
      <c r="FI22" s="232"/>
      <c r="FJ22" s="232"/>
      <c r="FK22" s="232"/>
      <c r="FL22" s="232"/>
      <c r="FM22" s="232"/>
      <c r="FN22" s="232"/>
      <c r="FO22" s="232"/>
      <c r="FP22" s="232"/>
      <c r="FQ22" s="232"/>
      <c r="FR22" s="232"/>
      <c r="FS22" s="232"/>
      <c r="FT22" s="232"/>
      <c r="FU22" s="232"/>
      <c r="FV22" s="232"/>
      <c r="FW22" s="232"/>
      <c r="FX22" s="232"/>
      <c r="FY22" s="232"/>
      <c r="FZ22" s="232"/>
      <c r="GA22" s="232"/>
      <c r="GB22" s="232"/>
      <c r="GC22" s="232"/>
      <c r="GD22" s="232"/>
      <c r="GE22" s="232"/>
      <c r="GF22" s="232"/>
      <c r="GG22" s="232"/>
      <c r="GH22" s="232"/>
      <c r="GI22" s="232"/>
      <c r="GJ22" s="232"/>
      <c r="GK22" s="232"/>
      <c r="GL22" s="232"/>
      <c r="GM22" s="232"/>
      <c r="GN22" s="232"/>
      <c r="GO22" s="232"/>
      <c r="GP22" s="232"/>
      <c r="GQ22" s="232"/>
      <c r="GR22" s="232"/>
      <c r="GS22" s="232"/>
      <c r="GT22" s="232"/>
      <c r="GU22" s="232"/>
      <c r="GV22" s="232"/>
      <c r="GW22" s="232"/>
      <c r="GX22" s="232"/>
      <c r="GY22" s="232"/>
      <c r="GZ22" s="232"/>
      <c r="HA22" s="232"/>
      <c r="HB22" s="232"/>
      <c r="HC22" s="232"/>
      <c r="HD22" s="232"/>
      <c r="HE22" s="232"/>
      <c r="HF22" s="232"/>
      <c r="HG22" s="232"/>
      <c r="HH22" s="232"/>
      <c r="HI22" s="232"/>
      <c r="HJ22" s="232"/>
      <c r="HK22" s="232"/>
      <c r="HL22" s="232"/>
      <c r="HM22" s="232"/>
      <c r="HN22" s="232"/>
      <c r="HO22" s="232"/>
      <c r="HP22" s="232"/>
      <c r="HQ22" s="232"/>
      <c r="HR22" s="232"/>
      <c r="HS22" s="232"/>
      <c r="HT22" s="232"/>
      <c r="HU22" s="232"/>
      <c r="HV22" s="232"/>
      <c r="HW22" s="232"/>
      <c r="HX22" s="232"/>
      <c r="HY22" s="232"/>
      <c r="HZ22" s="232"/>
      <c r="IA22" s="232"/>
      <c r="IB22" s="232"/>
      <c r="IC22" s="232"/>
      <c r="ID22" s="232"/>
      <c r="IE22" s="232"/>
      <c r="IF22" s="232"/>
      <c r="IG22" s="232"/>
      <c r="IH22" s="232"/>
      <c r="II22" s="232"/>
      <c r="IJ22" s="232"/>
      <c r="IK22" s="232"/>
      <c r="IL22" s="232"/>
      <c r="IM22" s="232"/>
      <c r="IN22" s="232"/>
      <c r="IO22" s="232"/>
      <c r="IP22" s="232"/>
      <c r="IQ22" s="232"/>
      <c r="IR22" s="232"/>
      <c r="IS22" s="232"/>
      <c r="IT22" s="232"/>
      <c r="IU22" s="232"/>
      <c r="IV22" s="232"/>
    </row>
    <row r="23" spans="1:256">
      <c r="A23" s="233"/>
      <c r="B23" s="234"/>
      <c r="C23" s="233"/>
      <c r="D23" s="233"/>
      <c r="E23" s="235"/>
      <c r="F23" s="235"/>
      <c r="G23" s="235"/>
      <c r="H23" s="235"/>
      <c r="I23" s="235"/>
      <c r="J23" s="235"/>
      <c r="K23" s="235"/>
      <c r="L23" s="235"/>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235"/>
      <c r="AM23" s="235"/>
      <c r="AN23" s="235"/>
      <c r="AO23" s="235"/>
      <c r="AP23" s="235"/>
      <c r="AQ23" s="235"/>
      <c r="AR23" s="235"/>
      <c r="AS23" s="235"/>
      <c r="AT23" s="235"/>
      <c r="AU23" s="235"/>
      <c r="AV23" s="235"/>
      <c r="AW23" s="235"/>
      <c r="AX23" s="235"/>
      <c r="AY23" s="235"/>
      <c r="AZ23" s="235"/>
      <c r="BA23" s="235"/>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5"/>
      <c r="CN23" s="235"/>
      <c r="CO23" s="235"/>
      <c r="CP23" s="235"/>
      <c r="CQ23" s="235"/>
      <c r="CR23" s="235"/>
      <c r="CS23" s="235"/>
      <c r="CT23" s="235"/>
      <c r="CU23" s="235"/>
      <c r="CV23" s="235"/>
      <c r="CW23" s="235"/>
      <c r="CX23" s="235"/>
      <c r="CY23" s="235"/>
      <c r="CZ23" s="235"/>
      <c r="DA23" s="235"/>
      <c r="DB23" s="235"/>
      <c r="DC23" s="235"/>
      <c r="DD23" s="235"/>
      <c r="DE23" s="235"/>
      <c r="DF23" s="235"/>
      <c r="DG23" s="235"/>
      <c r="DH23" s="235"/>
      <c r="DI23" s="235"/>
      <c r="DJ23" s="235"/>
      <c r="DK23" s="235"/>
      <c r="DL23" s="235"/>
      <c r="DM23" s="235"/>
      <c r="DN23" s="235"/>
      <c r="DO23" s="235"/>
      <c r="DP23" s="235"/>
      <c r="DQ23" s="235"/>
      <c r="DR23" s="235"/>
      <c r="DS23" s="235"/>
      <c r="DT23" s="235"/>
      <c r="DU23" s="235"/>
      <c r="DV23" s="235"/>
      <c r="DW23" s="235"/>
      <c r="DX23" s="235"/>
      <c r="DY23" s="235"/>
      <c r="DZ23" s="235"/>
      <c r="EA23" s="235"/>
      <c r="EB23" s="235"/>
      <c r="EC23" s="235"/>
      <c r="ED23" s="235"/>
      <c r="EE23" s="235"/>
      <c r="EF23" s="235"/>
      <c r="EG23" s="235"/>
      <c r="EH23" s="235"/>
      <c r="EI23" s="235"/>
      <c r="EJ23" s="235"/>
      <c r="EK23" s="235"/>
      <c r="EL23" s="235"/>
      <c r="EM23" s="235"/>
      <c r="EN23" s="235"/>
      <c r="EO23" s="235"/>
      <c r="EP23" s="235"/>
      <c r="EQ23" s="235"/>
      <c r="ER23" s="235"/>
      <c r="ES23" s="235"/>
      <c r="ET23" s="235"/>
      <c r="EU23" s="235"/>
      <c r="EV23" s="235"/>
      <c r="EW23" s="235"/>
      <c r="EX23" s="235"/>
      <c r="EY23" s="235"/>
      <c r="EZ23" s="235"/>
      <c r="FA23" s="235"/>
      <c r="FB23" s="235"/>
      <c r="FC23" s="235"/>
      <c r="FD23" s="235"/>
      <c r="FE23" s="235"/>
      <c r="FF23" s="235"/>
      <c r="FG23" s="235"/>
      <c r="FH23" s="235"/>
      <c r="FI23" s="235"/>
      <c r="FJ23" s="235"/>
      <c r="FK23" s="235"/>
      <c r="FL23" s="235"/>
      <c r="FM23" s="235"/>
      <c r="FN23" s="235"/>
      <c r="FO23" s="235"/>
      <c r="FP23" s="235"/>
      <c r="FQ23" s="235"/>
      <c r="FR23" s="235"/>
      <c r="FS23" s="235"/>
      <c r="FT23" s="235"/>
      <c r="FU23" s="235"/>
      <c r="FV23" s="235"/>
      <c r="FW23" s="235"/>
      <c r="FX23" s="235"/>
      <c r="FY23" s="235"/>
      <c r="FZ23" s="235"/>
      <c r="GA23" s="235"/>
      <c r="GB23" s="235"/>
      <c r="GC23" s="235"/>
      <c r="GD23" s="235"/>
      <c r="GE23" s="235"/>
      <c r="GF23" s="235"/>
      <c r="GG23" s="235"/>
      <c r="GH23" s="235"/>
      <c r="GI23" s="235"/>
      <c r="GJ23" s="235"/>
      <c r="GK23" s="235"/>
      <c r="GL23" s="235"/>
      <c r="GM23" s="235"/>
      <c r="GN23" s="235"/>
      <c r="GO23" s="235"/>
      <c r="GP23" s="235"/>
      <c r="GQ23" s="235"/>
      <c r="GR23" s="235"/>
      <c r="GS23" s="235"/>
      <c r="GT23" s="235"/>
      <c r="GU23" s="235"/>
      <c r="GV23" s="235"/>
      <c r="GW23" s="235"/>
      <c r="GX23" s="235"/>
      <c r="GY23" s="235"/>
      <c r="GZ23" s="235"/>
      <c r="HA23" s="235"/>
      <c r="HB23" s="235"/>
      <c r="HC23" s="235"/>
      <c r="HD23" s="235"/>
      <c r="HE23" s="235"/>
      <c r="HF23" s="235"/>
      <c r="HG23" s="235"/>
      <c r="HH23" s="235"/>
      <c r="HI23" s="235"/>
      <c r="HJ23" s="235"/>
      <c r="HK23" s="235"/>
      <c r="HL23" s="235"/>
      <c r="HM23" s="235"/>
      <c r="HN23" s="235"/>
      <c r="HO23" s="235"/>
      <c r="HP23" s="235"/>
      <c r="HQ23" s="235"/>
      <c r="HR23" s="235"/>
      <c r="HS23" s="235"/>
      <c r="HT23" s="235"/>
      <c r="HU23" s="235"/>
      <c r="HV23" s="235"/>
      <c r="HW23" s="235"/>
      <c r="HX23" s="235"/>
      <c r="HY23" s="235"/>
      <c r="HZ23" s="235"/>
      <c r="IA23" s="235"/>
      <c r="IB23" s="235"/>
      <c r="IC23" s="235"/>
      <c r="ID23" s="235"/>
      <c r="IE23" s="235"/>
      <c r="IF23" s="235"/>
      <c r="IG23" s="235"/>
      <c r="IH23" s="235"/>
      <c r="II23" s="235"/>
      <c r="IJ23" s="235"/>
      <c r="IK23" s="235"/>
      <c r="IL23" s="235"/>
      <c r="IM23" s="235"/>
      <c r="IN23" s="235"/>
      <c r="IO23" s="235"/>
      <c r="IP23" s="235"/>
      <c r="IQ23" s="235"/>
      <c r="IR23" s="235"/>
      <c r="IS23" s="235"/>
      <c r="IT23" s="235"/>
      <c r="IU23" s="235"/>
      <c r="IV23" s="235"/>
    </row>
    <row r="24" spans="1:256">
      <c r="A24" s="233"/>
      <c r="B24" s="234"/>
      <c r="C24" s="233"/>
      <c r="D24" s="233"/>
      <c r="E24" s="235"/>
      <c r="F24" s="235"/>
      <c r="G24" s="235"/>
      <c r="H24" s="235"/>
      <c r="I24" s="235"/>
      <c r="J24" s="235"/>
      <c r="K24" s="235"/>
      <c r="L24" s="235"/>
      <c r="M24" s="235"/>
      <c r="N24" s="235"/>
      <c r="O24" s="235"/>
      <c r="P24" s="235"/>
      <c r="Q24" s="235"/>
      <c r="R24" s="235"/>
      <c r="S24" s="235"/>
      <c r="T24" s="235"/>
      <c r="U24" s="235"/>
      <c r="V24" s="235"/>
      <c r="W24" s="235"/>
      <c r="X24" s="235"/>
      <c r="Y24" s="235"/>
      <c r="Z24" s="235"/>
      <c r="AA24" s="235"/>
      <c r="AB24" s="235"/>
      <c r="AC24" s="235"/>
      <c r="AD24" s="235"/>
      <c r="AE24" s="235"/>
      <c r="AF24" s="235"/>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5"/>
      <c r="CN24" s="235"/>
      <c r="CO24" s="235"/>
      <c r="CP24" s="235"/>
      <c r="CQ24" s="235"/>
      <c r="CR24" s="235"/>
      <c r="CS24" s="235"/>
      <c r="CT24" s="235"/>
      <c r="CU24" s="235"/>
      <c r="CV24" s="235"/>
      <c r="CW24" s="235"/>
      <c r="CX24" s="235"/>
      <c r="CY24" s="235"/>
      <c r="CZ24" s="235"/>
      <c r="DA24" s="235"/>
      <c r="DB24" s="235"/>
      <c r="DC24" s="235"/>
      <c r="DD24" s="235"/>
      <c r="DE24" s="235"/>
      <c r="DF24" s="235"/>
      <c r="DG24" s="235"/>
      <c r="DH24" s="235"/>
      <c r="DI24" s="235"/>
      <c r="DJ24" s="235"/>
      <c r="DK24" s="235"/>
      <c r="DL24" s="235"/>
      <c r="DM24" s="235"/>
      <c r="DN24" s="235"/>
      <c r="DO24" s="235"/>
      <c r="DP24" s="235"/>
      <c r="DQ24" s="235"/>
      <c r="DR24" s="235"/>
      <c r="DS24" s="235"/>
      <c r="DT24" s="235"/>
      <c r="DU24" s="235"/>
      <c r="DV24" s="235"/>
      <c r="DW24" s="235"/>
      <c r="DX24" s="235"/>
      <c r="DY24" s="235"/>
      <c r="DZ24" s="235"/>
      <c r="EA24" s="235"/>
      <c r="EB24" s="235"/>
      <c r="EC24" s="235"/>
      <c r="ED24" s="235"/>
      <c r="EE24" s="235"/>
      <c r="EF24" s="235"/>
      <c r="EG24" s="235"/>
      <c r="EH24" s="235"/>
      <c r="EI24" s="235"/>
      <c r="EJ24" s="235"/>
      <c r="EK24" s="235"/>
      <c r="EL24" s="235"/>
      <c r="EM24" s="235"/>
      <c r="EN24" s="235"/>
      <c r="EO24" s="235"/>
      <c r="EP24" s="235"/>
      <c r="EQ24" s="235"/>
      <c r="ER24" s="235"/>
      <c r="ES24" s="235"/>
      <c r="ET24" s="235"/>
      <c r="EU24" s="235"/>
      <c r="EV24" s="235"/>
      <c r="EW24" s="235"/>
      <c r="EX24" s="235"/>
      <c r="EY24" s="235"/>
      <c r="EZ24" s="235"/>
      <c r="FA24" s="235"/>
      <c r="FB24" s="235"/>
      <c r="FC24" s="235"/>
      <c r="FD24" s="235"/>
      <c r="FE24" s="235"/>
      <c r="FF24" s="235"/>
      <c r="FG24" s="235"/>
      <c r="FH24" s="235"/>
      <c r="FI24" s="235"/>
      <c r="FJ24" s="235"/>
      <c r="FK24" s="235"/>
      <c r="FL24" s="235"/>
      <c r="FM24" s="235"/>
      <c r="FN24" s="235"/>
      <c r="FO24" s="235"/>
      <c r="FP24" s="235"/>
      <c r="FQ24" s="235"/>
      <c r="FR24" s="235"/>
      <c r="FS24" s="235"/>
      <c r="FT24" s="235"/>
      <c r="FU24" s="235"/>
      <c r="FV24" s="235"/>
      <c r="FW24" s="235"/>
      <c r="FX24" s="235"/>
      <c r="FY24" s="235"/>
      <c r="FZ24" s="235"/>
      <c r="GA24" s="235"/>
      <c r="GB24" s="235"/>
      <c r="GC24" s="235"/>
      <c r="GD24" s="235"/>
      <c r="GE24" s="235"/>
      <c r="GF24" s="235"/>
      <c r="GG24" s="235"/>
      <c r="GH24" s="235"/>
      <c r="GI24" s="235"/>
      <c r="GJ24" s="235"/>
      <c r="GK24" s="235"/>
      <c r="GL24" s="235"/>
      <c r="GM24" s="235"/>
      <c r="GN24" s="235"/>
      <c r="GO24" s="235"/>
      <c r="GP24" s="235"/>
      <c r="GQ24" s="235"/>
      <c r="GR24" s="235"/>
      <c r="GS24" s="235"/>
      <c r="GT24" s="235"/>
      <c r="GU24" s="235"/>
      <c r="GV24" s="235"/>
      <c r="GW24" s="235"/>
      <c r="GX24" s="235"/>
      <c r="GY24" s="235"/>
      <c r="GZ24" s="235"/>
      <c r="HA24" s="235"/>
      <c r="HB24" s="235"/>
      <c r="HC24" s="235"/>
      <c r="HD24" s="235"/>
      <c r="HE24" s="235"/>
      <c r="HF24" s="235"/>
      <c r="HG24" s="235"/>
      <c r="HH24" s="235"/>
      <c r="HI24" s="235"/>
      <c r="HJ24" s="235"/>
      <c r="HK24" s="235"/>
      <c r="HL24" s="235"/>
      <c r="HM24" s="235"/>
      <c r="HN24" s="235"/>
      <c r="HO24" s="235"/>
      <c r="HP24" s="235"/>
      <c r="HQ24" s="235"/>
      <c r="HR24" s="235"/>
      <c r="HS24" s="235"/>
      <c r="HT24" s="235"/>
      <c r="HU24" s="235"/>
      <c r="HV24" s="235"/>
      <c r="HW24" s="235"/>
      <c r="HX24" s="235"/>
      <c r="HY24" s="235"/>
      <c r="HZ24" s="235"/>
      <c r="IA24" s="235"/>
      <c r="IB24" s="235"/>
      <c r="IC24" s="235"/>
      <c r="ID24" s="235"/>
      <c r="IE24" s="235"/>
      <c r="IF24" s="235"/>
      <c r="IG24" s="235"/>
      <c r="IH24" s="235"/>
      <c r="II24" s="235"/>
      <c r="IJ24" s="235"/>
      <c r="IK24" s="235"/>
      <c r="IL24" s="235"/>
      <c r="IM24" s="235"/>
      <c r="IN24" s="235"/>
      <c r="IO24" s="235"/>
      <c r="IP24" s="235"/>
      <c r="IQ24" s="235"/>
      <c r="IR24" s="235"/>
      <c r="IS24" s="235"/>
      <c r="IT24" s="235"/>
      <c r="IU24" s="235"/>
      <c r="IV24" s="235"/>
    </row>
    <row r="25" spans="1:256">
      <c r="A25" s="236"/>
      <c r="B25" s="234"/>
      <c r="C25" s="236"/>
      <c r="D25" s="237"/>
      <c r="E25" s="235"/>
      <c r="F25" s="235"/>
      <c r="G25" s="235"/>
      <c r="H25" s="235"/>
      <c r="I25" s="235"/>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235"/>
      <c r="AP25" s="235"/>
      <c r="AQ25" s="235"/>
      <c r="AR25" s="235"/>
      <c r="AS25" s="235"/>
      <c r="AT25" s="235"/>
      <c r="AU25" s="235"/>
      <c r="AV25" s="235"/>
      <c r="AW25" s="235"/>
      <c r="AX25" s="235"/>
      <c r="AY25" s="235"/>
      <c r="AZ25" s="235"/>
      <c r="BA25" s="235"/>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5"/>
      <c r="CN25" s="235"/>
      <c r="CO25" s="235"/>
      <c r="CP25" s="235"/>
      <c r="CQ25" s="235"/>
      <c r="CR25" s="235"/>
      <c r="CS25" s="235"/>
      <c r="CT25" s="235"/>
      <c r="CU25" s="235"/>
      <c r="CV25" s="235"/>
      <c r="CW25" s="235"/>
      <c r="CX25" s="235"/>
      <c r="CY25" s="235"/>
      <c r="CZ25" s="235"/>
      <c r="DA25" s="235"/>
      <c r="DB25" s="235"/>
      <c r="DC25" s="235"/>
      <c r="DD25" s="235"/>
      <c r="DE25" s="235"/>
      <c r="DF25" s="235"/>
      <c r="DG25" s="235"/>
      <c r="DH25" s="235"/>
      <c r="DI25" s="235"/>
      <c r="DJ25" s="235"/>
      <c r="DK25" s="235"/>
      <c r="DL25" s="235"/>
      <c r="DM25" s="235"/>
      <c r="DN25" s="235"/>
      <c r="DO25" s="235"/>
      <c r="DP25" s="235"/>
      <c r="DQ25" s="235"/>
      <c r="DR25" s="235"/>
      <c r="DS25" s="235"/>
      <c r="DT25" s="235"/>
      <c r="DU25" s="235"/>
      <c r="DV25" s="235"/>
      <c r="DW25" s="235"/>
      <c r="DX25" s="235"/>
      <c r="DY25" s="235"/>
      <c r="DZ25" s="235"/>
      <c r="EA25" s="235"/>
      <c r="EB25" s="235"/>
      <c r="EC25" s="235"/>
      <c r="ED25" s="235"/>
      <c r="EE25" s="235"/>
      <c r="EF25" s="235"/>
      <c r="EG25" s="235"/>
      <c r="EH25" s="235"/>
      <c r="EI25" s="235"/>
      <c r="EJ25" s="235"/>
      <c r="EK25" s="235"/>
      <c r="EL25" s="235"/>
      <c r="EM25" s="235"/>
      <c r="EN25" s="235"/>
      <c r="EO25" s="235"/>
      <c r="EP25" s="235"/>
      <c r="EQ25" s="235"/>
      <c r="ER25" s="235"/>
      <c r="ES25" s="235"/>
      <c r="ET25" s="235"/>
      <c r="EU25" s="235"/>
      <c r="EV25" s="235"/>
      <c r="EW25" s="235"/>
      <c r="EX25" s="235"/>
      <c r="EY25" s="235"/>
      <c r="EZ25" s="235"/>
      <c r="FA25" s="235"/>
      <c r="FB25" s="235"/>
      <c r="FC25" s="235"/>
      <c r="FD25" s="235"/>
      <c r="FE25" s="235"/>
      <c r="FF25" s="235"/>
      <c r="FG25" s="235"/>
      <c r="FH25" s="235"/>
      <c r="FI25" s="235"/>
      <c r="FJ25" s="235"/>
      <c r="FK25" s="235"/>
      <c r="FL25" s="235"/>
      <c r="FM25" s="235"/>
      <c r="FN25" s="235"/>
      <c r="FO25" s="235"/>
      <c r="FP25" s="235"/>
      <c r="FQ25" s="235"/>
      <c r="FR25" s="235"/>
      <c r="FS25" s="235"/>
      <c r="FT25" s="235"/>
      <c r="FU25" s="235"/>
      <c r="FV25" s="235"/>
      <c r="FW25" s="235"/>
      <c r="FX25" s="235"/>
      <c r="FY25" s="235"/>
      <c r="FZ25" s="235"/>
      <c r="GA25" s="235"/>
      <c r="GB25" s="235"/>
      <c r="GC25" s="235"/>
      <c r="GD25" s="235"/>
      <c r="GE25" s="235"/>
      <c r="GF25" s="235"/>
      <c r="GG25" s="235"/>
      <c r="GH25" s="235"/>
      <c r="GI25" s="235"/>
      <c r="GJ25" s="235"/>
      <c r="GK25" s="235"/>
      <c r="GL25" s="235"/>
      <c r="GM25" s="235"/>
      <c r="GN25" s="235"/>
      <c r="GO25" s="235"/>
      <c r="GP25" s="235"/>
      <c r="GQ25" s="235"/>
      <c r="GR25" s="235"/>
      <c r="GS25" s="235"/>
      <c r="GT25" s="235"/>
      <c r="GU25" s="235"/>
      <c r="GV25" s="235"/>
      <c r="GW25" s="235"/>
      <c r="GX25" s="235"/>
      <c r="GY25" s="235"/>
      <c r="GZ25" s="235"/>
      <c r="HA25" s="235"/>
      <c r="HB25" s="235"/>
      <c r="HC25" s="235"/>
      <c r="HD25" s="235"/>
      <c r="HE25" s="235"/>
      <c r="HF25" s="235"/>
      <c r="HG25" s="235"/>
      <c r="HH25" s="235"/>
      <c r="HI25" s="235"/>
      <c r="HJ25" s="235"/>
      <c r="HK25" s="235"/>
      <c r="HL25" s="235"/>
      <c r="HM25" s="235"/>
      <c r="HN25" s="235"/>
      <c r="HO25" s="235"/>
      <c r="HP25" s="235"/>
      <c r="HQ25" s="235"/>
      <c r="HR25" s="235"/>
      <c r="HS25" s="235"/>
      <c r="HT25" s="235"/>
      <c r="HU25" s="235"/>
      <c r="HV25" s="235"/>
      <c r="HW25" s="235"/>
      <c r="HX25" s="235"/>
      <c r="HY25" s="235"/>
      <c r="HZ25" s="235"/>
      <c r="IA25" s="235"/>
      <c r="IB25" s="235"/>
      <c r="IC25" s="235"/>
      <c r="ID25" s="235"/>
      <c r="IE25" s="235"/>
      <c r="IF25" s="235"/>
      <c r="IG25" s="235"/>
      <c r="IH25" s="235"/>
      <c r="II25" s="235"/>
      <c r="IJ25" s="235"/>
      <c r="IK25" s="235"/>
      <c r="IL25" s="235"/>
      <c r="IM25" s="235"/>
      <c r="IN25" s="235"/>
      <c r="IO25" s="235"/>
      <c r="IP25" s="235"/>
      <c r="IQ25" s="235"/>
      <c r="IR25" s="235"/>
      <c r="IS25" s="235"/>
      <c r="IT25" s="235"/>
      <c r="IU25" s="235"/>
      <c r="IV25" s="235"/>
    </row>
    <row r="26" spans="1:256">
      <c r="A26" s="236"/>
      <c r="B26" s="234"/>
      <c r="C26" s="236"/>
      <c r="D26" s="237"/>
      <c r="E26" s="235"/>
      <c r="F26" s="235"/>
      <c r="G26" s="235"/>
      <c r="H26" s="235"/>
      <c r="I26" s="235"/>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235"/>
      <c r="AP26" s="235"/>
      <c r="AQ26" s="235"/>
      <c r="AR26" s="235"/>
      <c r="AS26" s="235"/>
      <c r="AT26" s="235"/>
      <c r="AU26" s="235"/>
      <c r="AV26" s="235"/>
      <c r="AW26" s="235"/>
      <c r="AX26" s="235"/>
      <c r="AY26" s="235"/>
      <c r="AZ26" s="235"/>
      <c r="BA26" s="235"/>
      <c r="BB26" s="235"/>
      <c r="BC26" s="235"/>
      <c r="BD26" s="235"/>
      <c r="BE26" s="235"/>
      <c r="BF26" s="235"/>
      <c r="BG26" s="235"/>
      <c r="BH26" s="235"/>
      <c r="BI26" s="235"/>
      <c r="BJ26" s="235"/>
      <c r="BK26" s="235"/>
      <c r="BL26" s="235"/>
      <c r="BM26" s="235"/>
      <c r="BN26" s="235"/>
      <c r="BO26" s="235"/>
      <c r="BP26" s="235"/>
      <c r="BQ26" s="235"/>
      <c r="BR26" s="235"/>
      <c r="BS26" s="235"/>
      <c r="BT26" s="235"/>
      <c r="BU26" s="235"/>
      <c r="BV26" s="235"/>
      <c r="BW26" s="235"/>
      <c r="BX26" s="235"/>
      <c r="BY26" s="235"/>
      <c r="BZ26" s="235"/>
      <c r="CA26" s="235"/>
      <c r="CB26" s="235"/>
      <c r="CC26" s="235"/>
      <c r="CD26" s="235"/>
      <c r="CE26" s="235"/>
      <c r="CF26" s="235"/>
      <c r="CG26" s="235"/>
      <c r="CH26" s="235"/>
      <c r="CI26" s="235"/>
      <c r="CJ26" s="235"/>
      <c r="CK26" s="235"/>
      <c r="CL26" s="235"/>
      <c r="CM26" s="235"/>
      <c r="CN26" s="235"/>
      <c r="CO26" s="235"/>
      <c r="CP26" s="235"/>
      <c r="CQ26" s="235"/>
      <c r="CR26" s="235"/>
      <c r="CS26" s="235"/>
      <c r="CT26" s="235"/>
      <c r="CU26" s="235"/>
      <c r="CV26" s="235"/>
      <c r="CW26" s="235"/>
      <c r="CX26" s="235"/>
      <c r="CY26" s="235"/>
      <c r="CZ26" s="235"/>
      <c r="DA26" s="235"/>
      <c r="DB26" s="235"/>
      <c r="DC26" s="235"/>
      <c r="DD26" s="235"/>
      <c r="DE26" s="235"/>
      <c r="DF26" s="235"/>
      <c r="DG26" s="235"/>
      <c r="DH26" s="235"/>
      <c r="DI26" s="235"/>
      <c r="DJ26" s="235"/>
      <c r="DK26" s="235"/>
      <c r="DL26" s="235"/>
      <c r="DM26" s="235"/>
      <c r="DN26" s="235"/>
      <c r="DO26" s="235"/>
      <c r="DP26" s="235"/>
      <c r="DQ26" s="235"/>
      <c r="DR26" s="235"/>
      <c r="DS26" s="235"/>
      <c r="DT26" s="235"/>
      <c r="DU26" s="235"/>
      <c r="DV26" s="235"/>
      <c r="DW26" s="235"/>
      <c r="DX26" s="235"/>
      <c r="DY26" s="235"/>
      <c r="DZ26" s="235"/>
      <c r="EA26" s="235"/>
      <c r="EB26" s="235"/>
      <c r="EC26" s="235"/>
      <c r="ED26" s="235"/>
      <c r="EE26" s="235"/>
      <c r="EF26" s="235"/>
      <c r="EG26" s="235"/>
      <c r="EH26" s="235"/>
      <c r="EI26" s="235"/>
      <c r="EJ26" s="235"/>
      <c r="EK26" s="235"/>
      <c r="EL26" s="235"/>
      <c r="EM26" s="235"/>
      <c r="EN26" s="235"/>
      <c r="EO26" s="235"/>
      <c r="EP26" s="235"/>
      <c r="EQ26" s="235"/>
      <c r="ER26" s="235"/>
      <c r="ES26" s="235"/>
      <c r="ET26" s="235"/>
      <c r="EU26" s="235"/>
      <c r="EV26" s="235"/>
      <c r="EW26" s="235"/>
      <c r="EX26" s="235"/>
      <c r="EY26" s="235"/>
      <c r="EZ26" s="235"/>
      <c r="FA26" s="235"/>
      <c r="FB26" s="235"/>
      <c r="FC26" s="235"/>
      <c r="FD26" s="235"/>
      <c r="FE26" s="235"/>
      <c r="FF26" s="235"/>
      <c r="FG26" s="235"/>
      <c r="FH26" s="235"/>
      <c r="FI26" s="235"/>
      <c r="FJ26" s="235"/>
      <c r="FK26" s="235"/>
      <c r="FL26" s="235"/>
      <c r="FM26" s="235"/>
      <c r="FN26" s="235"/>
      <c r="FO26" s="235"/>
      <c r="FP26" s="235"/>
      <c r="FQ26" s="235"/>
      <c r="FR26" s="235"/>
      <c r="FS26" s="235"/>
      <c r="FT26" s="235"/>
      <c r="FU26" s="235"/>
      <c r="FV26" s="235"/>
      <c r="FW26" s="235"/>
      <c r="FX26" s="235"/>
      <c r="FY26" s="235"/>
      <c r="FZ26" s="235"/>
      <c r="GA26" s="235"/>
      <c r="GB26" s="235"/>
      <c r="GC26" s="235"/>
      <c r="GD26" s="235"/>
      <c r="GE26" s="235"/>
      <c r="GF26" s="235"/>
      <c r="GG26" s="235"/>
      <c r="GH26" s="235"/>
      <c r="GI26" s="235"/>
      <c r="GJ26" s="235"/>
      <c r="GK26" s="235"/>
      <c r="GL26" s="235"/>
      <c r="GM26" s="235"/>
      <c r="GN26" s="235"/>
      <c r="GO26" s="235"/>
      <c r="GP26" s="235"/>
      <c r="GQ26" s="235"/>
      <c r="GR26" s="235"/>
      <c r="GS26" s="235"/>
      <c r="GT26" s="235"/>
      <c r="GU26" s="235"/>
      <c r="GV26" s="235"/>
      <c r="GW26" s="235"/>
      <c r="GX26" s="235"/>
      <c r="GY26" s="235"/>
      <c r="GZ26" s="235"/>
      <c r="HA26" s="235"/>
      <c r="HB26" s="235"/>
      <c r="HC26" s="235"/>
      <c r="HD26" s="235"/>
      <c r="HE26" s="235"/>
      <c r="HF26" s="235"/>
      <c r="HG26" s="235"/>
      <c r="HH26" s="235"/>
      <c r="HI26" s="235"/>
      <c r="HJ26" s="235"/>
      <c r="HK26" s="235"/>
      <c r="HL26" s="235"/>
      <c r="HM26" s="235"/>
      <c r="HN26" s="235"/>
      <c r="HO26" s="235"/>
      <c r="HP26" s="235"/>
      <c r="HQ26" s="235"/>
      <c r="HR26" s="235"/>
      <c r="HS26" s="235"/>
      <c r="HT26" s="235"/>
      <c r="HU26" s="235"/>
      <c r="HV26" s="235"/>
      <c r="HW26" s="235"/>
      <c r="HX26" s="235"/>
      <c r="HY26" s="235"/>
      <c r="HZ26" s="235"/>
      <c r="IA26" s="235"/>
      <c r="IB26" s="235"/>
      <c r="IC26" s="235"/>
      <c r="ID26" s="235"/>
      <c r="IE26" s="235"/>
      <c r="IF26" s="235"/>
      <c r="IG26" s="235"/>
      <c r="IH26" s="235"/>
      <c r="II26" s="235"/>
      <c r="IJ26" s="235"/>
      <c r="IK26" s="235"/>
      <c r="IL26" s="235"/>
      <c r="IM26" s="235"/>
      <c r="IN26" s="235"/>
      <c r="IO26" s="235"/>
      <c r="IP26" s="235"/>
      <c r="IQ26" s="235"/>
      <c r="IR26" s="235"/>
      <c r="IS26" s="235"/>
      <c r="IT26" s="235"/>
      <c r="IU26" s="235"/>
      <c r="IV26" s="235"/>
    </row>
    <row r="27" spans="1:256">
      <c r="A27" s="233"/>
      <c r="B27" s="238"/>
      <c r="C27" s="233"/>
      <c r="D27" s="239"/>
      <c r="E27" s="235"/>
      <c r="F27" s="235"/>
      <c r="G27" s="235"/>
      <c r="H27" s="235"/>
      <c r="I27" s="235"/>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235"/>
      <c r="AP27" s="235"/>
      <c r="AQ27" s="235"/>
      <c r="AR27" s="235"/>
      <c r="AS27" s="235"/>
      <c r="AT27" s="235"/>
      <c r="AU27" s="235"/>
      <c r="AV27" s="235"/>
      <c r="AW27" s="235"/>
      <c r="AX27" s="235"/>
      <c r="AY27" s="235"/>
      <c r="AZ27" s="235"/>
      <c r="BA27" s="235"/>
      <c r="BB27" s="235"/>
      <c r="BC27" s="235"/>
      <c r="BD27" s="235"/>
      <c r="BE27" s="235"/>
      <c r="BF27" s="235"/>
      <c r="BG27" s="235"/>
      <c r="BH27" s="235"/>
      <c r="BI27" s="235"/>
      <c r="BJ27" s="235"/>
      <c r="BK27" s="235"/>
      <c r="BL27" s="235"/>
      <c r="BM27" s="235"/>
      <c r="BN27" s="235"/>
      <c r="BO27" s="235"/>
      <c r="BP27" s="235"/>
      <c r="BQ27" s="235"/>
      <c r="BR27" s="235"/>
      <c r="BS27" s="235"/>
      <c r="BT27" s="235"/>
      <c r="BU27" s="235"/>
      <c r="BV27" s="235"/>
      <c r="BW27" s="235"/>
      <c r="BX27" s="235"/>
      <c r="BY27" s="235"/>
      <c r="BZ27" s="235"/>
      <c r="CA27" s="235"/>
      <c r="CB27" s="235"/>
      <c r="CC27" s="235"/>
      <c r="CD27" s="235"/>
      <c r="CE27" s="235"/>
      <c r="CF27" s="235"/>
      <c r="CG27" s="235"/>
      <c r="CH27" s="235"/>
      <c r="CI27" s="235"/>
      <c r="CJ27" s="235"/>
      <c r="CK27" s="235"/>
      <c r="CL27" s="235"/>
      <c r="CM27" s="235"/>
      <c r="CN27" s="235"/>
      <c r="CO27" s="235"/>
      <c r="CP27" s="235"/>
      <c r="CQ27" s="235"/>
      <c r="CR27" s="235"/>
      <c r="CS27" s="235"/>
      <c r="CT27" s="235"/>
      <c r="CU27" s="235"/>
      <c r="CV27" s="235"/>
      <c r="CW27" s="235"/>
      <c r="CX27" s="235"/>
      <c r="CY27" s="235"/>
      <c r="CZ27" s="235"/>
      <c r="DA27" s="235"/>
      <c r="DB27" s="235"/>
      <c r="DC27" s="235"/>
      <c r="DD27" s="235"/>
      <c r="DE27" s="235"/>
      <c r="DF27" s="235"/>
      <c r="DG27" s="235"/>
      <c r="DH27" s="235"/>
      <c r="DI27" s="235"/>
      <c r="DJ27" s="235"/>
      <c r="DK27" s="235"/>
      <c r="DL27" s="235"/>
      <c r="DM27" s="235"/>
      <c r="DN27" s="235"/>
      <c r="DO27" s="235"/>
      <c r="DP27" s="235"/>
      <c r="DQ27" s="235"/>
      <c r="DR27" s="235"/>
      <c r="DS27" s="235"/>
      <c r="DT27" s="235"/>
      <c r="DU27" s="235"/>
      <c r="DV27" s="235"/>
      <c r="DW27" s="235"/>
      <c r="DX27" s="235"/>
      <c r="DY27" s="235"/>
      <c r="DZ27" s="235"/>
      <c r="EA27" s="235"/>
      <c r="EB27" s="235"/>
      <c r="EC27" s="235"/>
      <c r="ED27" s="235"/>
      <c r="EE27" s="235"/>
      <c r="EF27" s="235"/>
      <c r="EG27" s="235"/>
      <c r="EH27" s="235"/>
      <c r="EI27" s="235"/>
      <c r="EJ27" s="235"/>
      <c r="EK27" s="235"/>
      <c r="EL27" s="235"/>
      <c r="EM27" s="235"/>
      <c r="EN27" s="235"/>
      <c r="EO27" s="235"/>
      <c r="EP27" s="235"/>
      <c r="EQ27" s="235"/>
      <c r="ER27" s="235"/>
      <c r="ES27" s="235"/>
      <c r="ET27" s="235"/>
      <c r="EU27" s="235"/>
      <c r="EV27" s="235"/>
      <c r="EW27" s="235"/>
      <c r="EX27" s="235"/>
      <c r="EY27" s="235"/>
      <c r="EZ27" s="235"/>
      <c r="FA27" s="235"/>
      <c r="FB27" s="235"/>
      <c r="FC27" s="235"/>
      <c r="FD27" s="235"/>
      <c r="FE27" s="235"/>
      <c r="FF27" s="235"/>
      <c r="FG27" s="235"/>
      <c r="FH27" s="235"/>
      <c r="FI27" s="235"/>
      <c r="FJ27" s="235"/>
      <c r="FK27" s="235"/>
      <c r="FL27" s="235"/>
      <c r="FM27" s="235"/>
      <c r="FN27" s="235"/>
      <c r="FO27" s="235"/>
      <c r="FP27" s="235"/>
      <c r="FQ27" s="235"/>
      <c r="FR27" s="235"/>
      <c r="FS27" s="235"/>
      <c r="FT27" s="235"/>
      <c r="FU27" s="235"/>
      <c r="FV27" s="235"/>
      <c r="FW27" s="235"/>
      <c r="FX27" s="235"/>
      <c r="FY27" s="235"/>
      <c r="FZ27" s="235"/>
      <c r="GA27" s="235"/>
      <c r="GB27" s="235"/>
      <c r="GC27" s="235"/>
      <c r="GD27" s="235"/>
      <c r="GE27" s="235"/>
      <c r="GF27" s="235"/>
      <c r="GG27" s="235"/>
      <c r="GH27" s="235"/>
      <c r="GI27" s="235"/>
      <c r="GJ27" s="235"/>
      <c r="GK27" s="235"/>
      <c r="GL27" s="235"/>
      <c r="GM27" s="235"/>
      <c r="GN27" s="235"/>
      <c r="GO27" s="235"/>
      <c r="GP27" s="235"/>
      <c r="GQ27" s="235"/>
      <c r="GR27" s="235"/>
      <c r="GS27" s="235"/>
      <c r="GT27" s="235"/>
      <c r="GU27" s="235"/>
      <c r="GV27" s="235"/>
      <c r="GW27" s="235"/>
      <c r="GX27" s="235"/>
      <c r="GY27" s="235"/>
      <c r="GZ27" s="235"/>
      <c r="HA27" s="235"/>
      <c r="HB27" s="235"/>
      <c r="HC27" s="235"/>
      <c r="HD27" s="235"/>
      <c r="HE27" s="235"/>
      <c r="HF27" s="235"/>
      <c r="HG27" s="235"/>
      <c r="HH27" s="235"/>
      <c r="HI27" s="235"/>
      <c r="HJ27" s="235"/>
      <c r="HK27" s="235"/>
      <c r="HL27" s="235"/>
      <c r="HM27" s="235"/>
      <c r="HN27" s="235"/>
      <c r="HO27" s="235"/>
      <c r="HP27" s="235"/>
      <c r="HQ27" s="235"/>
      <c r="HR27" s="235"/>
      <c r="HS27" s="235"/>
      <c r="HT27" s="235"/>
      <c r="HU27" s="235"/>
      <c r="HV27" s="235"/>
      <c r="HW27" s="235"/>
      <c r="HX27" s="235"/>
      <c r="HY27" s="235"/>
      <c r="HZ27" s="235"/>
      <c r="IA27" s="235"/>
      <c r="IB27" s="235"/>
      <c r="IC27" s="235"/>
      <c r="ID27" s="235"/>
      <c r="IE27" s="235"/>
      <c r="IF27" s="235"/>
      <c r="IG27" s="235"/>
      <c r="IH27" s="235"/>
      <c r="II27" s="235"/>
      <c r="IJ27" s="235"/>
      <c r="IK27" s="235"/>
      <c r="IL27" s="235"/>
      <c r="IM27" s="235"/>
      <c r="IN27" s="235"/>
      <c r="IO27" s="235"/>
      <c r="IP27" s="235"/>
      <c r="IQ27" s="235"/>
      <c r="IR27" s="235"/>
      <c r="IS27" s="235"/>
      <c r="IT27" s="235"/>
      <c r="IU27" s="235"/>
      <c r="IV27" s="235"/>
    </row>
  </sheetData>
  <mergeCells count="8">
    <mergeCell ref="B19:D19"/>
    <mergeCell ref="A22:D22"/>
    <mergeCell ref="A1:E1"/>
    <mergeCell ref="A2:E2"/>
    <mergeCell ref="A3:D3"/>
    <mergeCell ref="A5:D5"/>
    <mergeCell ref="A7:D7"/>
    <mergeCell ref="A9: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57"/>
  <sheetViews>
    <sheetView tabSelected="1" view="pageBreakPreview" zoomScaleNormal="100" workbookViewId="0">
      <selection activeCell="A2" sqref="A2:G2"/>
    </sheetView>
  </sheetViews>
  <sheetFormatPr defaultRowHeight="15"/>
  <cols>
    <col min="1" max="1" width="3" style="671" customWidth="1"/>
    <col min="2" max="2" width="38.140625" style="668" customWidth="1"/>
    <col min="3" max="3" width="8.42578125" style="668" customWidth="1"/>
    <col min="4" max="4" width="5" style="671" customWidth="1"/>
    <col min="5" max="5" width="5.7109375" style="668" customWidth="1"/>
    <col min="6" max="6" width="17.5703125" style="671" customWidth="1"/>
    <col min="7" max="7" width="10.5703125" style="668" customWidth="1"/>
    <col min="8" max="8" width="9.140625" style="668" hidden="1" customWidth="1"/>
    <col min="9" max="16384" width="9.140625" style="668"/>
  </cols>
  <sheetData>
    <row r="1" spans="1:8">
      <c r="A1" s="976"/>
      <c r="B1" s="976"/>
      <c r="C1" s="976"/>
      <c r="D1" s="976"/>
      <c r="E1" s="976"/>
      <c r="F1" s="976"/>
      <c r="G1" s="274"/>
    </row>
    <row r="2" spans="1:8" s="274" customFormat="1" ht="14.25">
      <c r="A2" s="732" t="str">
        <f>Measurment!B1</f>
        <v xml:space="preserve">SHREE MAHAGANPATI AGRO PRODUCER COMPANY LIMITED </v>
      </c>
      <c r="B2" s="732"/>
      <c r="C2" s="732"/>
      <c r="D2" s="732"/>
      <c r="E2" s="732"/>
      <c r="F2" s="732"/>
      <c r="G2" s="732"/>
      <c r="H2" s="669"/>
    </row>
    <row r="3" spans="1:8" s="274" customFormat="1" ht="14.25">
      <c r="A3" s="732" t="str">
        <f>Measurment!B2</f>
        <v>A/P-THANAPUDE  TAL. WALWA, DIST. SANGLI.</v>
      </c>
      <c r="B3" s="732"/>
      <c r="C3" s="732"/>
      <c r="D3" s="732"/>
      <c r="E3" s="732"/>
      <c r="F3" s="732"/>
      <c r="G3" s="732"/>
    </row>
    <row r="4" spans="1:8" s="274" customFormat="1" ht="14.25">
      <c r="A4" s="670"/>
      <c r="B4" s="670"/>
      <c r="C4" s="670"/>
      <c r="D4" s="670"/>
      <c r="E4" s="670"/>
      <c r="F4" s="670"/>
      <c r="G4" s="670"/>
    </row>
    <row r="5" spans="1:8">
      <c r="A5" s="731"/>
      <c r="B5" s="731"/>
      <c r="C5" s="731"/>
      <c r="D5" s="731"/>
      <c r="E5" s="731"/>
      <c r="F5" s="731"/>
    </row>
    <row r="6" spans="1:8">
      <c r="A6" s="733" t="s">
        <v>578</v>
      </c>
      <c r="B6" s="733"/>
      <c r="C6" s="733"/>
      <c r="D6" s="733"/>
      <c r="E6" s="733"/>
      <c r="F6" s="733"/>
      <c r="G6" s="733"/>
    </row>
    <row r="7" spans="1:8">
      <c r="A7" s="532"/>
      <c r="B7" s="532"/>
      <c r="C7" s="532"/>
      <c r="D7" s="532"/>
      <c r="E7" s="532"/>
      <c r="F7" s="532"/>
      <c r="G7" s="532"/>
    </row>
    <row r="8" spans="1:8" ht="43.5" customHeight="1">
      <c r="A8" s="738" t="str">
        <f>Measurment!B4</f>
        <v>NAME OF WORK : PROPOSED NEW CONSTRUCTON WORK OF STORAGE PACK HOUSE  OF SHREE MAHAGANPATI  AGRO PRODUCER COMPANY LIMITED,     IN GAT  NO.121.  A/P-THANAPUDE   TAL. WALWA, DIST. SANGLI.</v>
      </c>
      <c r="B8" s="738"/>
      <c r="C8" s="738"/>
      <c r="D8" s="738"/>
      <c r="E8" s="738"/>
      <c r="F8" s="738"/>
      <c r="G8" s="738"/>
      <c r="H8" s="669"/>
    </row>
    <row r="9" spans="1:8">
      <c r="H9" s="672"/>
    </row>
    <row r="10" spans="1:8">
      <c r="A10" s="734"/>
      <c r="B10" s="734"/>
      <c r="C10" s="734"/>
      <c r="D10" s="734"/>
      <c r="E10" s="734"/>
      <c r="F10" s="734"/>
      <c r="G10" s="734"/>
      <c r="H10" s="734"/>
    </row>
    <row r="11" spans="1:8">
      <c r="B11" s="670" t="s">
        <v>579</v>
      </c>
      <c r="C11" s="670"/>
      <c r="D11" s="670"/>
      <c r="E11" s="274"/>
      <c r="F11" s="670" t="s">
        <v>580</v>
      </c>
      <c r="G11" s="274" t="s">
        <v>581</v>
      </c>
    </row>
    <row r="12" spans="1:8">
      <c r="B12" s="673"/>
      <c r="C12" s="274"/>
      <c r="D12" s="670"/>
      <c r="E12" s="274"/>
      <c r="F12" s="670" t="s">
        <v>582</v>
      </c>
      <c r="G12" s="274"/>
    </row>
    <row r="13" spans="1:8">
      <c r="B13" s="674"/>
    </row>
    <row r="14" spans="1:8" s="674" customFormat="1" ht="45" customHeight="1">
      <c r="A14" s="675"/>
      <c r="B14" s="739" t="str">
        <f>Abst.WT!B89</f>
        <v>SUB WORK  I : -PROPOSED NEW CONSTRUCTON WORK OF STORAGE PACK HOUSE</v>
      </c>
      <c r="C14" s="739"/>
      <c r="D14" s="739"/>
      <c r="E14" s="676" t="s">
        <v>13</v>
      </c>
      <c r="F14" s="713">
        <f>Abst.WT!O144</f>
        <v>1422594</v>
      </c>
      <c r="G14" s="677"/>
    </row>
    <row r="15" spans="1:8" s="674" customFormat="1" ht="15.75">
      <c r="A15" s="675"/>
      <c r="D15" s="675"/>
      <c r="E15" s="676"/>
      <c r="F15" s="713"/>
    </row>
    <row r="16" spans="1:8" s="674" customFormat="1" ht="15.75">
      <c r="A16" s="675"/>
      <c r="B16" s="673"/>
      <c r="D16" s="675"/>
      <c r="E16" s="676"/>
      <c r="F16" s="713"/>
    </row>
    <row r="17" spans="1:6" s="674" customFormat="1" ht="15.75">
      <c r="A17" s="675"/>
      <c r="B17" s="673" t="str">
        <f>ROYALTY!B6</f>
        <v>SUBWORK II :- Royalty Charges</v>
      </c>
      <c r="D17" s="675"/>
      <c r="E17" s="678" t="s">
        <v>13</v>
      </c>
      <c r="F17" s="714">
        <f>ROYALTY!F60</f>
        <v>15930</v>
      </c>
    </row>
    <row r="18" spans="1:6" s="674" customFormat="1" ht="15.75">
      <c r="A18" s="675"/>
      <c r="B18" s="673"/>
      <c r="D18" s="675"/>
      <c r="E18" s="679"/>
      <c r="F18" s="715"/>
    </row>
    <row r="19" spans="1:6" s="674" customFormat="1" ht="15.75">
      <c r="A19" s="675"/>
      <c r="B19" s="673"/>
      <c r="D19" s="680" t="s">
        <v>9</v>
      </c>
      <c r="E19" s="676" t="s">
        <v>13</v>
      </c>
      <c r="F19" s="716">
        <f>SUM(F14:F18)</f>
        <v>1438524</v>
      </c>
    </row>
    <row r="20" spans="1:6" s="674" customFormat="1" ht="15.75">
      <c r="A20" s="675"/>
      <c r="B20" s="680" t="s">
        <v>664</v>
      </c>
      <c r="C20" s="681">
        <v>0.03</v>
      </c>
      <c r="D20" s="680"/>
      <c r="E20" s="676"/>
      <c r="F20" s="716">
        <f>F19*C20</f>
        <v>43155.72</v>
      </c>
    </row>
    <row r="21" spans="1:6" s="674" customFormat="1" ht="15.75">
      <c r="A21" s="675"/>
      <c r="B21" s="673"/>
      <c r="D21" s="680"/>
      <c r="E21" s="676"/>
      <c r="F21" s="716"/>
    </row>
    <row r="22" spans="1:6" s="674" customFormat="1" ht="15.75">
      <c r="A22" s="675"/>
      <c r="B22" s="673"/>
      <c r="D22" s="680" t="s">
        <v>9</v>
      </c>
      <c r="E22" s="676" t="s">
        <v>13</v>
      </c>
      <c r="F22" s="716">
        <f>SUM(F19:F21)</f>
        <v>1481679.72</v>
      </c>
    </row>
    <row r="23" spans="1:6" s="674" customFormat="1" ht="15.75">
      <c r="A23" s="675"/>
      <c r="D23" s="675"/>
      <c r="E23" s="676"/>
      <c r="F23" s="713"/>
    </row>
    <row r="24" spans="1:6" s="674" customFormat="1" ht="15.75">
      <c r="A24" s="675"/>
      <c r="B24" s="680" t="s">
        <v>583</v>
      </c>
      <c r="C24" s="681">
        <v>0.18</v>
      </c>
      <c r="D24" s="675"/>
      <c r="E24" s="676" t="s">
        <v>13</v>
      </c>
      <c r="F24" s="715">
        <f>ROUNDUP(C24*F22,0)</f>
        <v>266703</v>
      </c>
    </row>
    <row r="25" spans="1:6" s="674" customFormat="1" ht="15.75">
      <c r="A25" s="675"/>
      <c r="B25" s="673"/>
      <c r="D25" s="675"/>
      <c r="E25" s="676"/>
      <c r="F25" s="713"/>
    </row>
    <row r="26" spans="1:6" s="674" customFormat="1" ht="15.75">
      <c r="A26" s="675"/>
      <c r="B26" s="682" t="s">
        <v>665</v>
      </c>
      <c r="C26" s="681">
        <v>0.01</v>
      </c>
      <c r="D26" s="675"/>
      <c r="E26" s="679"/>
      <c r="F26" s="717">
        <f>C26*F22</f>
        <v>14816.797200000001</v>
      </c>
    </row>
    <row r="27" spans="1:6" s="674" customFormat="1" ht="16.5" thickBot="1">
      <c r="A27" s="675"/>
      <c r="B27" s="683"/>
      <c r="D27" s="684"/>
      <c r="E27" s="685"/>
      <c r="F27" s="718"/>
    </row>
    <row r="28" spans="1:6" s="674" customFormat="1" ht="15.75">
      <c r="A28" s="675"/>
      <c r="B28" s="673"/>
      <c r="D28" s="675" t="s">
        <v>9</v>
      </c>
      <c r="E28" s="676" t="s">
        <v>13</v>
      </c>
      <c r="F28" s="719">
        <f>SUM(F22:F26)</f>
        <v>1763199.5171999999</v>
      </c>
    </row>
    <row r="29" spans="1:6" s="674" customFormat="1" ht="15.75">
      <c r="A29" s="675"/>
      <c r="B29" s="673"/>
      <c r="D29" s="675"/>
      <c r="E29" s="676"/>
      <c r="F29" s="713"/>
    </row>
    <row r="30" spans="1:6" s="674" customFormat="1" ht="15.75">
      <c r="A30" s="675"/>
      <c r="B30" s="673"/>
      <c r="D30" s="675"/>
      <c r="E30" s="676"/>
      <c r="F30" s="720"/>
    </row>
    <row r="31" spans="1:6" s="674" customFormat="1" ht="15.75">
      <c r="A31" s="675"/>
      <c r="B31" s="673"/>
      <c r="D31" s="682" t="s">
        <v>179</v>
      </c>
      <c r="E31" s="680"/>
      <c r="F31" s="721">
        <f>SUM(F28:F30)</f>
        <v>1763199.5171999999</v>
      </c>
    </row>
    <row r="32" spans="1:6" s="674" customFormat="1">
      <c r="A32" s="675"/>
      <c r="B32" s="673"/>
      <c r="D32" s="675"/>
      <c r="E32" s="676"/>
      <c r="F32" s="686"/>
    </row>
    <row r="33" spans="1:15" s="674" customFormat="1">
      <c r="A33" s="675"/>
      <c r="B33" s="673"/>
      <c r="D33" s="675"/>
      <c r="E33" s="676"/>
      <c r="F33" s="675"/>
    </row>
    <row r="34" spans="1:15" s="674" customFormat="1">
      <c r="A34" s="675"/>
      <c r="B34" s="673"/>
      <c r="D34" s="675"/>
      <c r="E34" s="676"/>
      <c r="F34" s="675"/>
    </row>
    <row r="35" spans="1:15" s="674" customFormat="1">
      <c r="A35" s="675"/>
      <c r="B35" s="673"/>
      <c r="D35" s="675"/>
      <c r="E35" s="676"/>
      <c r="F35" s="675"/>
    </row>
    <row r="36" spans="1:15" s="696" customFormat="1" ht="14.25">
      <c r="A36" s="687"/>
      <c r="B36" s="688"/>
      <c r="C36" s="687"/>
      <c r="D36" s="687"/>
      <c r="E36" s="689"/>
      <c r="F36" s="690"/>
      <c r="G36" s="691"/>
      <c r="H36" s="691"/>
      <c r="I36" s="692"/>
      <c r="J36" s="693"/>
      <c r="K36" s="694"/>
      <c r="L36" s="695"/>
    </row>
    <row r="37" spans="1:15" s="696" customFormat="1">
      <c r="A37" s="687"/>
      <c r="B37" s="697"/>
      <c r="C37" s="697"/>
      <c r="D37" s="698"/>
      <c r="E37" s="699"/>
      <c r="F37" s="697"/>
      <c r="G37" s="700"/>
      <c r="H37" s="700"/>
      <c r="I37" s="692"/>
      <c r="J37" s="693"/>
      <c r="K37" s="694"/>
      <c r="L37" s="695"/>
    </row>
    <row r="38" spans="1:15" s="696" customFormat="1" ht="12.75" customHeight="1">
      <c r="A38" s="687"/>
      <c r="B38" s="697" t="s">
        <v>584</v>
      </c>
      <c r="C38" s="697"/>
      <c r="D38" s="698"/>
      <c r="E38" s="699"/>
      <c r="F38" s="735" t="s">
        <v>585</v>
      </c>
      <c r="G38" s="735"/>
      <c r="H38" s="700"/>
      <c r="I38" s="692"/>
      <c r="J38" s="693"/>
      <c r="K38" s="694"/>
      <c r="L38" s="695"/>
    </row>
    <row r="39" spans="1:15" s="696" customFormat="1">
      <c r="A39" s="687"/>
      <c r="B39" s="697"/>
      <c r="C39" s="697"/>
      <c r="D39" s="699"/>
      <c r="E39" s="699"/>
      <c r="F39" s="701"/>
      <c r="G39" s="700"/>
      <c r="H39" s="700"/>
      <c r="I39" s="692"/>
      <c r="J39" s="693"/>
      <c r="K39" s="694"/>
      <c r="L39" s="695"/>
    </row>
    <row r="40" spans="1:15" s="696" customFormat="1">
      <c r="A40" s="687"/>
      <c r="B40" s="697"/>
      <c r="C40" s="697"/>
      <c r="D40" s="699"/>
      <c r="E40" s="699"/>
      <c r="F40" s="701"/>
      <c r="G40" s="700"/>
      <c r="H40" s="700"/>
      <c r="I40" s="692"/>
      <c r="J40" s="693"/>
      <c r="K40" s="694"/>
      <c r="L40" s="695"/>
    </row>
    <row r="41" spans="1:15" s="696" customFormat="1" ht="12.75" customHeight="1">
      <c r="A41" s="687"/>
      <c r="B41" s="736"/>
      <c r="C41" s="736"/>
      <c r="D41" s="736"/>
      <c r="E41" s="699"/>
      <c r="F41" s="735"/>
      <c r="G41" s="735"/>
      <c r="H41" s="700"/>
      <c r="I41" s="692"/>
      <c r="J41" s="693"/>
      <c r="K41" s="694"/>
      <c r="L41" s="695"/>
    </row>
    <row r="42" spans="1:15" s="696" customFormat="1" ht="12.75" customHeight="1">
      <c r="A42" s="687"/>
      <c r="B42" s="702"/>
      <c r="C42" s="703"/>
      <c r="D42" s="703"/>
      <c r="E42" s="697"/>
      <c r="F42" s="737"/>
      <c r="G42" s="737"/>
      <c r="H42" s="697"/>
      <c r="I42" s="692"/>
      <c r="J42" s="693"/>
      <c r="K42" s="694"/>
      <c r="L42" s="695"/>
    </row>
    <row r="43" spans="1:15" s="696" customFormat="1">
      <c r="A43" s="687"/>
      <c r="B43" s="697"/>
      <c r="C43" s="697"/>
      <c r="D43" s="699"/>
      <c r="E43" s="699"/>
      <c r="F43" s="701"/>
      <c r="G43" s="700"/>
      <c r="H43" s="700"/>
      <c r="I43" s="692"/>
      <c r="J43" s="693"/>
      <c r="K43" s="694"/>
      <c r="L43" s="695"/>
    </row>
    <row r="44" spans="1:15" s="698" customFormat="1">
      <c r="A44" s="704"/>
      <c r="B44" s="697"/>
      <c r="C44" s="703"/>
      <c r="D44" s="703"/>
      <c r="E44" s="697"/>
      <c r="F44" s="697"/>
      <c r="G44" s="697"/>
      <c r="H44" s="697"/>
      <c r="I44" s="705"/>
      <c r="N44" s="706"/>
      <c r="O44" s="705"/>
    </row>
    <row r="45" spans="1:15" s="709" customFormat="1" ht="12.75" hidden="1" customHeight="1">
      <c r="A45" s="707"/>
      <c r="B45" s="668" t="s">
        <v>586</v>
      </c>
      <c r="C45" s="668"/>
      <c r="D45" s="671"/>
      <c r="E45" s="708"/>
      <c r="F45" s="671"/>
    </row>
    <row r="46" spans="1:15" s="709" customFormat="1" ht="12.75" hidden="1" customHeight="1">
      <c r="A46" s="707"/>
      <c r="B46" s="668" t="s">
        <v>587</v>
      </c>
      <c r="C46" s="668"/>
      <c r="D46" s="671"/>
      <c r="E46" s="708"/>
      <c r="F46" s="671"/>
    </row>
    <row r="47" spans="1:15" s="709" customFormat="1" ht="12.75" hidden="1" customHeight="1">
      <c r="A47" s="707"/>
      <c r="B47" s="668" t="s">
        <v>588</v>
      </c>
      <c r="C47" s="668"/>
      <c r="D47" s="671"/>
      <c r="E47" s="708"/>
      <c r="F47" s="710"/>
    </row>
    <row r="48" spans="1:15" s="709" customFormat="1" ht="12.75" hidden="1" customHeight="1">
      <c r="A48" s="707"/>
      <c r="B48" s="709" t="s">
        <v>589</v>
      </c>
      <c r="D48" s="707"/>
      <c r="E48" s="711"/>
      <c r="F48" s="712"/>
    </row>
    <row r="49" spans="1:7" s="709" customFormat="1" ht="12.75" hidden="1" customHeight="1">
      <c r="A49" s="707"/>
      <c r="B49" s="709" t="s">
        <v>590</v>
      </c>
      <c r="D49" s="707"/>
      <c r="E49" s="711"/>
      <c r="F49" s="712"/>
    </row>
    <row r="50" spans="1:7" s="709" customFormat="1" ht="12.75" hidden="1" customHeight="1">
      <c r="A50" s="707">
        <v>8</v>
      </c>
      <c r="B50" s="709" t="s">
        <v>591</v>
      </c>
      <c r="D50" s="707"/>
      <c r="E50" s="711"/>
      <c r="F50" s="712"/>
    </row>
    <row r="51" spans="1:7" s="709" customFormat="1" ht="12.75" hidden="1" customHeight="1">
      <c r="A51" s="707"/>
      <c r="B51" s="709" t="s">
        <v>592</v>
      </c>
      <c r="D51" s="707"/>
      <c r="E51" s="711"/>
      <c r="F51" s="712"/>
    </row>
    <row r="52" spans="1:7" hidden="1">
      <c r="E52" s="708"/>
    </row>
    <row r="53" spans="1:7" hidden="1">
      <c r="D53" s="668"/>
      <c r="F53" s="668"/>
    </row>
    <row r="54" spans="1:7" ht="12.75" hidden="1" customHeight="1">
      <c r="D54" s="731"/>
      <c r="E54" s="731"/>
      <c r="F54" s="731"/>
      <c r="G54" s="731"/>
    </row>
    <row r="55" spans="1:7" hidden="1"/>
    <row r="56" spans="1:7" hidden="1"/>
    <row r="57" spans="1:7" hidden="1"/>
  </sheetData>
  <mergeCells count="13">
    <mergeCell ref="D54:G54"/>
    <mergeCell ref="A1:F1"/>
    <mergeCell ref="A2:G2"/>
    <mergeCell ref="A3:G3"/>
    <mergeCell ref="A5:F5"/>
    <mergeCell ref="A6:G6"/>
    <mergeCell ref="A10:H10"/>
    <mergeCell ref="F38:G38"/>
    <mergeCell ref="B41:D41"/>
    <mergeCell ref="F41:G41"/>
    <mergeCell ref="F42:G42"/>
    <mergeCell ref="A8:G8"/>
    <mergeCell ref="B14:D14"/>
  </mergeCells>
  <phoneticPr fontId="9" type="noConversion"/>
  <pageMargins left="0.85" right="0.27" top="0.5" bottom="0.5" header="0.5" footer="0.5"/>
  <pageSetup scale="97" orientation="portrait" horizontalDpi="4294967295"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O150"/>
  <sheetViews>
    <sheetView view="pageBreakPreview" zoomScaleNormal="100" zoomScaleSheetLayoutView="50" workbookViewId="0">
      <selection activeCell="F110" sqref="F110"/>
    </sheetView>
  </sheetViews>
  <sheetFormatPr defaultRowHeight="12"/>
  <cols>
    <col min="1" max="1" width="4.28515625" style="352" customWidth="1"/>
    <col min="2" max="2" width="43.85546875" style="402" customWidth="1"/>
    <col min="3" max="3" width="11.42578125" style="352" customWidth="1"/>
    <col min="4" max="4" width="7.140625" style="352" customWidth="1"/>
    <col min="5" max="5" width="10.42578125" style="352" customWidth="1"/>
    <col min="6" max="6" width="8.42578125" style="403" customWidth="1"/>
    <col min="7" max="7" width="8.42578125" style="396" customWidth="1"/>
    <col min="8" max="8" width="7.28515625" style="396" customWidth="1"/>
    <col min="9" max="9" width="7" style="396" customWidth="1"/>
    <col min="10" max="11" width="7.140625" style="396" customWidth="1"/>
    <col min="12" max="12" width="8.85546875" style="404" customWidth="1"/>
    <col min="13" max="13" width="11" style="404" customWidth="1"/>
    <col min="14" max="14" width="10.7109375" style="396" customWidth="1"/>
    <col min="15" max="15" width="17" style="420" customWidth="1"/>
    <col min="16" max="16384" width="9.140625" style="338"/>
  </cols>
  <sheetData>
    <row r="1" spans="1:15" ht="21.75" customHeight="1">
      <c r="A1" s="785" t="str">
        <f>Measurment!B1</f>
        <v xml:space="preserve">SHREE MAHAGANPATI AGRO PRODUCER COMPANY LIMITED </v>
      </c>
      <c r="B1" s="785"/>
      <c r="C1" s="785"/>
      <c r="D1" s="785"/>
      <c r="E1" s="785"/>
      <c r="F1" s="785"/>
      <c r="G1" s="785"/>
      <c r="H1" s="785"/>
      <c r="I1" s="785"/>
      <c r="J1" s="785"/>
      <c r="K1" s="785"/>
      <c r="L1" s="785"/>
      <c r="M1" s="785"/>
      <c r="N1" s="785"/>
      <c r="O1" s="785"/>
    </row>
    <row r="2" spans="1:15" ht="18">
      <c r="A2" s="786" t="str">
        <f>Measurment!B2</f>
        <v>A/P-THANAPUDE  TAL. WALWA, DIST. SANGLI.</v>
      </c>
      <c r="B2" s="786"/>
      <c r="C2" s="786"/>
      <c r="D2" s="786"/>
      <c r="E2" s="786"/>
      <c r="F2" s="786"/>
      <c r="G2" s="786"/>
      <c r="H2" s="786"/>
      <c r="I2" s="786"/>
      <c r="J2" s="786"/>
      <c r="K2" s="786"/>
      <c r="L2" s="786"/>
      <c r="M2" s="786"/>
      <c r="N2" s="786"/>
      <c r="O2" s="786"/>
    </row>
    <row r="3" spans="1:15">
      <c r="A3" s="792"/>
      <c r="B3" s="792"/>
      <c r="C3" s="339"/>
      <c r="D3" s="339"/>
      <c r="E3" s="339"/>
      <c r="F3" s="342"/>
      <c r="G3" s="343"/>
      <c r="H3" s="343"/>
      <c r="I3" s="344"/>
      <c r="J3" s="344"/>
      <c r="K3" s="344"/>
      <c r="L3" s="343"/>
      <c r="M3" s="343"/>
      <c r="N3" s="343"/>
      <c r="O3" s="344"/>
    </row>
    <row r="4" spans="1:15" ht="49.5" customHeight="1">
      <c r="A4" s="345"/>
      <c r="B4" s="793" t="str">
        <f>Measurment!B4</f>
        <v>NAME OF WORK : PROPOSED NEW CONSTRUCTON WORK OF STORAGE PACK HOUSE  OF SHREE MAHAGANPATI  AGRO PRODUCER COMPANY LIMITED,     IN GAT  NO.121.  A/P-THANAPUDE   TAL. WALWA, DIST. SANGLI.</v>
      </c>
      <c r="C4" s="793"/>
      <c r="D4" s="793"/>
      <c r="E4" s="793"/>
      <c r="F4" s="793"/>
      <c r="G4" s="793"/>
      <c r="H4" s="793"/>
      <c r="I4" s="793"/>
      <c r="J4" s="793"/>
      <c r="K4" s="793"/>
      <c r="L4" s="793"/>
      <c r="M4" s="793"/>
      <c r="N4" s="793"/>
      <c r="O4" s="793"/>
    </row>
    <row r="5" spans="1:15" ht="12.75">
      <c r="A5" s="339"/>
      <c r="B5" s="346"/>
      <c r="C5" s="346"/>
      <c r="D5" s="346"/>
      <c r="E5" s="339"/>
      <c r="F5" s="342"/>
      <c r="G5" s="343"/>
      <c r="H5" s="343"/>
      <c r="I5" s="344"/>
      <c r="J5" s="344"/>
      <c r="K5" s="344"/>
      <c r="L5" s="343"/>
      <c r="M5" s="343"/>
      <c r="N5" s="343"/>
      <c r="O5" s="344"/>
    </row>
    <row r="6" spans="1:15" ht="18">
      <c r="A6" s="794" t="s">
        <v>124</v>
      </c>
      <c r="B6" s="794"/>
      <c r="C6" s="794"/>
      <c r="D6" s="794"/>
      <c r="E6" s="794"/>
      <c r="F6" s="794"/>
      <c r="G6" s="794"/>
      <c r="H6" s="794"/>
      <c r="I6" s="794"/>
      <c r="J6" s="801" t="s">
        <v>645</v>
      </c>
      <c r="K6" s="801"/>
      <c r="L6" s="801"/>
      <c r="M6" s="801"/>
      <c r="N6" s="801"/>
      <c r="O6" s="344"/>
    </row>
    <row r="7" spans="1:15" ht="12.75" thickBot="1">
      <c r="A7" s="339"/>
      <c r="B7" s="347"/>
      <c r="C7" s="339"/>
      <c r="D7" s="339"/>
      <c r="E7" s="339"/>
      <c r="F7" s="342"/>
      <c r="G7" s="343"/>
      <c r="H7" s="343"/>
      <c r="I7" s="344"/>
      <c r="J7" s="344"/>
      <c r="K7" s="344"/>
      <c r="L7" s="343"/>
      <c r="M7" s="343"/>
      <c r="N7" s="343"/>
      <c r="O7" s="344"/>
    </row>
    <row r="8" spans="1:15" s="352" customFormat="1" ht="12.75" customHeight="1" thickBot="1">
      <c r="A8" s="795" t="s">
        <v>52</v>
      </c>
      <c r="B8" s="798" t="s">
        <v>125</v>
      </c>
      <c r="C8" s="740" t="s">
        <v>126</v>
      </c>
      <c r="D8" s="743" t="s">
        <v>370</v>
      </c>
      <c r="E8" s="787"/>
      <c r="F8" s="788"/>
      <c r="G8" s="348"/>
      <c r="H8" s="349"/>
      <c r="I8" s="350"/>
      <c r="J8" s="343"/>
      <c r="K8" s="343"/>
      <c r="L8" s="344"/>
      <c r="M8" s="351"/>
      <c r="N8" s="343"/>
    </row>
    <row r="9" spans="1:15" ht="24">
      <c r="A9" s="796"/>
      <c r="B9" s="799"/>
      <c r="C9" s="741" t="s">
        <v>53</v>
      </c>
      <c r="D9" s="744"/>
      <c r="E9" s="353" t="s">
        <v>142</v>
      </c>
      <c r="F9" s="354" t="s">
        <v>143</v>
      </c>
      <c r="G9" s="355" t="s">
        <v>362</v>
      </c>
      <c r="H9" s="356" t="s">
        <v>127</v>
      </c>
      <c r="I9" s="357" t="s">
        <v>371</v>
      </c>
      <c r="J9" s="343"/>
      <c r="K9" s="344"/>
      <c r="L9" s="358"/>
      <c r="M9" s="346"/>
      <c r="N9" s="346"/>
      <c r="O9" s="338"/>
    </row>
    <row r="10" spans="1:15" ht="13.5" thickBot="1">
      <c r="A10" s="797"/>
      <c r="B10" s="800"/>
      <c r="C10" s="742"/>
      <c r="D10" s="745"/>
      <c r="E10" s="359"/>
      <c r="F10" s="360"/>
      <c r="G10" s="361" t="s">
        <v>363</v>
      </c>
      <c r="H10" s="362"/>
      <c r="I10" s="363"/>
      <c r="J10" s="343"/>
      <c r="K10" s="344"/>
      <c r="L10" s="358"/>
      <c r="M10" s="346"/>
      <c r="N10" s="346"/>
      <c r="O10" s="338"/>
    </row>
    <row r="11" spans="1:15" s="352" customFormat="1" ht="12.75" thickBot="1">
      <c r="A11" s="364">
        <v>1</v>
      </c>
      <c r="B11" s="365">
        <v>2</v>
      </c>
      <c r="C11" s="366">
        <v>3</v>
      </c>
      <c r="D11" s="365">
        <v>4</v>
      </c>
      <c r="E11" s="366">
        <v>5</v>
      </c>
      <c r="F11" s="367">
        <v>6</v>
      </c>
      <c r="G11" s="368">
        <v>7</v>
      </c>
      <c r="H11" s="369">
        <v>8</v>
      </c>
      <c r="I11" s="370">
        <v>9</v>
      </c>
      <c r="J11" s="343"/>
      <c r="K11" s="343"/>
      <c r="L11" s="343"/>
    </row>
    <row r="12" spans="1:15" ht="18" customHeight="1">
      <c r="A12" s="371">
        <v>1</v>
      </c>
      <c r="B12" s="372" t="s">
        <v>128</v>
      </c>
      <c r="C12" s="371" t="s">
        <v>129</v>
      </c>
      <c r="D12" s="373">
        <v>45</v>
      </c>
      <c r="E12" s="374">
        <v>641.85</v>
      </c>
      <c r="F12" s="375">
        <f>E12</f>
        <v>641.85</v>
      </c>
      <c r="G12" s="376">
        <v>1</v>
      </c>
      <c r="H12" s="377">
        <f>F12</f>
        <v>641.85</v>
      </c>
      <c r="I12" s="377">
        <f>F12/G12</f>
        <v>641.85</v>
      </c>
      <c r="J12" s="343"/>
      <c r="K12" s="344"/>
      <c r="L12" s="378"/>
      <c r="M12" s="379"/>
      <c r="N12" s="379"/>
      <c r="O12" s="338"/>
    </row>
    <row r="13" spans="1:15" ht="18" customHeight="1">
      <c r="A13" s="371"/>
      <c r="B13" s="372"/>
      <c r="C13" s="371"/>
      <c r="D13" s="373"/>
      <c r="E13" s="374"/>
      <c r="F13" s="375"/>
      <c r="G13" s="376"/>
      <c r="H13" s="377"/>
      <c r="I13" s="377"/>
      <c r="J13" s="343"/>
      <c r="K13" s="344"/>
      <c r="L13" s="378"/>
      <c r="M13" s="379"/>
      <c r="N13" s="379"/>
      <c r="O13" s="338"/>
    </row>
    <row r="14" spans="1:15" ht="18" customHeight="1">
      <c r="A14" s="380">
        <v>2</v>
      </c>
      <c r="B14" s="381" t="s">
        <v>144</v>
      </c>
      <c r="C14" s="380" t="s">
        <v>129</v>
      </c>
      <c r="D14" s="382">
        <v>10</v>
      </c>
      <c r="E14" s="383">
        <v>281.02999999999997</v>
      </c>
      <c r="F14" s="375">
        <f>E14</f>
        <v>281.02999999999997</v>
      </c>
      <c r="G14" s="385">
        <v>1</v>
      </c>
      <c r="H14" s="386">
        <f t="shared" ref="H14:H22" si="0">F14</f>
        <v>281.02999999999997</v>
      </c>
      <c r="I14" s="386">
        <f t="shared" ref="I14:I27" si="1">F14/G14</f>
        <v>281.02999999999997</v>
      </c>
      <c r="J14" s="343"/>
      <c r="K14" s="344"/>
      <c r="L14" s="378"/>
      <c r="M14" s="379"/>
      <c r="N14" s="379"/>
      <c r="O14" s="338"/>
    </row>
    <row r="15" spans="1:15" ht="18" customHeight="1">
      <c r="A15" s="380"/>
      <c r="B15" s="381"/>
      <c r="C15" s="380"/>
      <c r="D15" s="382"/>
      <c r="E15" s="383"/>
      <c r="F15" s="384"/>
      <c r="G15" s="385"/>
      <c r="H15" s="386"/>
      <c r="I15" s="386"/>
      <c r="J15" s="343"/>
      <c r="K15" s="344"/>
      <c r="L15" s="378"/>
      <c r="M15" s="379"/>
      <c r="N15" s="379"/>
      <c r="O15" s="338"/>
    </row>
    <row r="16" spans="1:15" ht="18" customHeight="1">
      <c r="A16" s="380">
        <v>3</v>
      </c>
      <c r="B16" s="381" t="s">
        <v>145</v>
      </c>
      <c r="C16" s="380" t="s">
        <v>129</v>
      </c>
      <c r="D16" s="382">
        <v>10</v>
      </c>
      <c r="E16" s="383">
        <v>269.32</v>
      </c>
      <c r="F16" s="375">
        <f>E16</f>
        <v>269.32</v>
      </c>
      <c r="G16" s="385">
        <v>1</v>
      </c>
      <c r="H16" s="386">
        <f t="shared" si="0"/>
        <v>269.32</v>
      </c>
      <c r="I16" s="386">
        <f t="shared" si="1"/>
        <v>269.32</v>
      </c>
      <c r="J16" s="343"/>
      <c r="K16" s="344"/>
      <c r="L16" s="378"/>
      <c r="M16" s="379"/>
      <c r="N16" s="379"/>
      <c r="O16" s="338"/>
    </row>
    <row r="17" spans="1:15" ht="18" customHeight="1">
      <c r="A17" s="380"/>
      <c r="B17" s="381"/>
      <c r="C17" s="380"/>
      <c r="D17" s="382"/>
      <c r="E17" s="383"/>
      <c r="F17" s="384"/>
      <c r="G17" s="385"/>
      <c r="H17" s="386"/>
      <c r="I17" s="386"/>
      <c r="J17" s="343"/>
      <c r="K17" s="344"/>
      <c r="L17" s="378"/>
      <c r="M17" s="379"/>
      <c r="N17" s="379"/>
      <c r="O17" s="338"/>
    </row>
    <row r="18" spans="1:15" ht="18" customHeight="1">
      <c r="A18" s="380">
        <v>4</v>
      </c>
      <c r="B18" s="381" t="s">
        <v>130</v>
      </c>
      <c r="C18" s="380" t="s">
        <v>129</v>
      </c>
      <c r="D18" s="382">
        <v>10</v>
      </c>
      <c r="E18" s="383">
        <v>343.81</v>
      </c>
      <c r="F18" s="375">
        <f>E18</f>
        <v>343.81</v>
      </c>
      <c r="G18" s="385">
        <v>1</v>
      </c>
      <c r="H18" s="386">
        <f t="shared" si="0"/>
        <v>343.81</v>
      </c>
      <c r="I18" s="386">
        <f t="shared" si="1"/>
        <v>343.81</v>
      </c>
      <c r="J18" s="343"/>
      <c r="K18" s="344"/>
      <c r="L18" s="378"/>
      <c r="M18" s="379"/>
      <c r="N18" s="379"/>
      <c r="O18" s="338"/>
    </row>
    <row r="19" spans="1:15" ht="18" customHeight="1">
      <c r="A19" s="380"/>
      <c r="B19" s="381"/>
      <c r="C19" s="380"/>
      <c r="D19" s="382"/>
      <c r="E19" s="383"/>
      <c r="F19" s="384"/>
      <c r="G19" s="385"/>
      <c r="H19" s="386"/>
      <c r="I19" s="386"/>
      <c r="J19" s="343"/>
      <c r="K19" s="344"/>
      <c r="L19" s="378"/>
      <c r="M19" s="379"/>
      <c r="N19" s="379"/>
      <c r="O19" s="338"/>
    </row>
    <row r="20" spans="1:15" ht="18" customHeight="1">
      <c r="A20" s="380">
        <v>5</v>
      </c>
      <c r="B20" s="381" t="s">
        <v>131</v>
      </c>
      <c r="C20" s="380" t="s">
        <v>146</v>
      </c>
      <c r="D20" s="382">
        <v>10</v>
      </c>
      <c r="E20" s="383">
        <v>372.08</v>
      </c>
      <c r="F20" s="375">
        <f>E20</f>
        <v>372.08</v>
      </c>
      <c r="G20" s="385">
        <v>1</v>
      </c>
      <c r="H20" s="386">
        <f t="shared" si="0"/>
        <v>372.08</v>
      </c>
      <c r="I20" s="386">
        <f t="shared" si="1"/>
        <v>372.08</v>
      </c>
      <c r="J20" s="343"/>
      <c r="K20" s="344"/>
      <c r="L20" s="378"/>
      <c r="M20" s="379"/>
      <c r="N20" s="379"/>
      <c r="O20" s="338"/>
    </row>
    <row r="21" spans="1:15" ht="18" customHeight="1">
      <c r="A21" s="380"/>
      <c r="B21" s="381"/>
      <c r="C21" s="380"/>
      <c r="D21" s="382"/>
      <c r="E21" s="383"/>
      <c r="F21" s="384"/>
      <c r="G21" s="385"/>
      <c r="H21" s="386"/>
      <c r="I21" s="386"/>
      <c r="J21" s="343"/>
      <c r="K21" s="344"/>
      <c r="L21" s="378"/>
      <c r="M21" s="379"/>
      <c r="N21" s="379"/>
      <c r="O21" s="338"/>
    </row>
    <row r="22" spans="1:15" ht="18" customHeight="1">
      <c r="A22" s="380">
        <v>6</v>
      </c>
      <c r="B22" s="381" t="s">
        <v>132</v>
      </c>
      <c r="C22" s="380" t="s">
        <v>129</v>
      </c>
      <c r="D22" s="382">
        <v>5</v>
      </c>
      <c r="E22" s="383">
        <v>210.71</v>
      </c>
      <c r="F22" s="384">
        <f t="shared" ref="F22:F24" si="2">E22</f>
        <v>210.71</v>
      </c>
      <c r="G22" s="385">
        <v>1</v>
      </c>
      <c r="H22" s="386">
        <f t="shared" si="0"/>
        <v>210.71</v>
      </c>
      <c r="I22" s="386">
        <f t="shared" si="1"/>
        <v>210.71</v>
      </c>
      <c r="J22" s="343"/>
      <c r="K22" s="344"/>
      <c r="L22" s="378"/>
      <c r="M22" s="379"/>
      <c r="N22" s="379"/>
      <c r="O22" s="338"/>
    </row>
    <row r="23" spans="1:15" ht="18" customHeight="1">
      <c r="A23" s="380"/>
      <c r="B23" s="381"/>
      <c r="C23" s="380"/>
      <c r="D23" s="382"/>
      <c r="E23" s="383"/>
      <c r="F23" s="384"/>
      <c r="G23" s="385"/>
      <c r="H23" s="386"/>
      <c r="I23" s="386"/>
      <c r="J23" s="343"/>
      <c r="K23" s="344"/>
      <c r="L23" s="378"/>
      <c r="M23" s="379"/>
      <c r="N23" s="379"/>
      <c r="O23" s="338"/>
    </row>
    <row r="24" spans="1:15" ht="18" customHeight="1">
      <c r="A24" s="380">
        <v>7</v>
      </c>
      <c r="B24" s="381" t="s">
        <v>133</v>
      </c>
      <c r="C24" s="380" t="s">
        <v>129</v>
      </c>
      <c r="D24" s="382">
        <v>5</v>
      </c>
      <c r="E24" s="383">
        <v>210.71</v>
      </c>
      <c r="F24" s="384">
        <f t="shared" si="2"/>
        <v>210.71</v>
      </c>
      <c r="G24" s="385">
        <v>1</v>
      </c>
      <c r="H24" s="386">
        <f>F24</f>
        <v>210.71</v>
      </c>
      <c r="I24" s="386">
        <f t="shared" si="1"/>
        <v>210.71</v>
      </c>
      <c r="J24" s="343"/>
      <c r="K24" s="344"/>
      <c r="L24" s="378"/>
      <c r="M24" s="379"/>
      <c r="N24" s="379"/>
      <c r="O24" s="338"/>
    </row>
    <row r="25" spans="1:15" ht="18" customHeight="1">
      <c r="A25" s="380"/>
      <c r="B25" s="381"/>
      <c r="C25" s="380"/>
      <c r="D25" s="382"/>
      <c r="E25" s="383"/>
      <c r="F25" s="384"/>
      <c r="G25" s="385"/>
      <c r="H25" s="386"/>
      <c r="I25" s="386"/>
      <c r="J25" s="343"/>
      <c r="K25" s="344"/>
      <c r="L25" s="378"/>
      <c r="M25" s="379"/>
      <c r="N25" s="379"/>
      <c r="O25" s="338"/>
    </row>
    <row r="26" spans="1:15" ht="18" customHeight="1">
      <c r="A26" s="380">
        <v>8</v>
      </c>
      <c r="B26" s="381" t="s">
        <v>134</v>
      </c>
      <c r="C26" s="380" t="s">
        <v>129</v>
      </c>
      <c r="D26" s="387">
        <v>1</v>
      </c>
      <c r="E26" s="387">
        <v>141.34</v>
      </c>
      <c r="F26" s="384"/>
      <c r="G26" s="385">
        <v>1</v>
      </c>
      <c r="H26" s="386">
        <f>F26</f>
        <v>0</v>
      </c>
      <c r="I26" s="386">
        <f t="shared" si="1"/>
        <v>0</v>
      </c>
      <c r="J26" s="344"/>
      <c r="K26" s="344"/>
      <c r="L26" s="378"/>
      <c r="M26" s="379"/>
      <c r="N26" s="379"/>
      <c r="O26" s="338"/>
    </row>
    <row r="27" spans="1:15" ht="18" hidden="1" customHeight="1">
      <c r="A27" s="388">
        <v>9</v>
      </c>
      <c r="B27" s="389" t="s">
        <v>147</v>
      </c>
      <c r="C27" s="388" t="s">
        <v>148</v>
      </c>
      <c r="D27" s="390">
        <v>0</v>
      </c>
      <c r="E27" s="388">
        <v>0</v>
      </c>
      <c r="F27" s="391">
        <v>0</v>
      </c>
      <c r="G27" s="392">
        <v>1</v>
      </c>
      <c r="H27" s="392">
        <f>F27</f>
        <v>0</v>
      </c>
      <c r="I27" s="393">
        <f t="shared" si="1"/>
        <v>0</v>
      </c>
      <c r="J27" s="394"/>
      <c r="K27" s="344"/>
      <c r="L27" s="378"/>
      <c r="M27" s="379"/>
      <c r="N27" s="379"/>
      <c r="O27" s="338"/>
    </row>
    <row r="28" spans="1:15" ht="18" hidden="1" customHeight="1">
      <c r="A28" s="339">
        <v>10</v>
      </c>
      <c r="B28" s="347" t="s">
        <v>149</v>
      </c>
      <c r="C28" s="339" t="s">
        <v>135</v>
      </c>
      <c r="D28" s="339">
        <v>0</v>
      </c>
      <c r="E28" s="395" t="s">
        <v>136</v>
      </c>
      <c r="F28" s="342">
        <v>0</v>
      </c>
      <c r="G28" s="343"/>
      <c r="H28" s="396">
        <v>0</v>
      </c>
      <c r="I28" s="397">
        <v>0</v>
      </c>
      <c r="J28" s="344"/>
      <c r="K28" s="398"/>
      <c r="L28" s="399"/>
      <c r="M28" s="400"/>
      <c r="N28" s="394"/>
      <c r="O28" s="344"/>
    </row>
    <row r="29" spans="1:15" ht="18" hidden="1" customHeight="1">
      <c r="A29" s="339">
        <v>11</v>
      </c>
      <c r="B29" s="347" t="s">
        <v>150</v>
      </c>
      <c r="C29" s="339" t="s">
        <v>135</v>
      </c>
      <c r="D29" s="339">
        <v>0</v>
      </c>
      <c r="E29" s="395" t="s">
        <v>136</v>
      </c>
      <c r="F29" s="342">
        <v>0</v>
      </c>
      <c r="G29" s="343"/>
      <c r="H29" s="396">
        <v>0</v>
      </c>
      <c r="I29" s="397">
        <v>0</v>
      </c>
      <c r="J29" s="344"/>
      <c r="K29" s="398"/>
      <c r="L29" s="399"/>
      <c r="M29" s="400"/>
      <c r="N29" s="394"/>
      <c r="O29" s="344"/>
    </row>
    <row r="30" spans="1:15" ht="18" hidden="1" customHeight="1">
      <c r="A30" s="339" t="s">
        <v>151</v>
      </c>
      <c r="B30" s="347" t="s">
        <v>152</v>
      </c>
      <c r="C30" s="339" t="s">
        <v>135</v>
      </c>
      <c r="D30" s="339">
        <v>0</v>
      </c>
      <c r="E30" s="395" t="s">
        <v>136</v>
      </c>
      <c r="F30" s="342">
        <v>0</v>
      </c>
      <c r="G30" s="343"/>
      <c r="H30" s="396">
        <v>0</v>
      </c>
      <c r="I30" s="397">
        <v>0</v>
      </c>
      <c r="J30" s="344"/>
      <c r="K30" s="398"/>
      <c r="L30" s="399"/>
      <c r="M30" s="400"/>
      <c r="N30" s="394"/>
      <c r="O30" s="344"/>
    </row>
    <row r="31" spans="1:15" ht="18" hidden="1" customHeight="1">
      <c r="A31" s="339">
        <v>12</v>
      </c>
      <c r="B31" s="347" t="s">
        <v>153</v>
      </c>
      <c r="C31" s="339" t="s">
        <v>154</v>
      </c>
      <c r="D31" s="339">
        <v>0</v>
      </c>
      <c r="E31" s="339">
        <v>0</v>
      </c>
      <c r="F31" s="342">
        <v>0</v>
      </c>
      <c r="G31" s="343"/>
      <c r="H31" s="396">
        <v>0</v>
      </c>
      <c r="I31" s="397">
        <v>0</v>
      </c>
      <c r="J31" s="344"/>
      <c r="K31" s="344"/>
      <c r="L31" s="343"/>
      <c r="M31" s="401"/>
      <c r="N31" s="343"/>
      <c r="O31" s="344"/>
    </row>
    <row r="32" spans="1:15" ht="18" customHeight="1">
      <c r="A32" s="339"/>
      <c r="B32" s="347"/>
      <c r="C32" s="339"/>
      <c r="D32" s="339"/>
      <c r="E32" s="339"/>
      <c r="F32" s="342"/>
      <c r="G32" s="343"/>
      <c r="I32" s="397"/>
      <c r="J32" s="344"/>
      <c r="K32" s="344"/>
      <c r="L32" s="343"/>
      <c r="M32" s="401"/>
      <c r="N32" s="343"/>
      <c r="O32" s="344"/>
    </row>
    <row r="33" spans="1:15" ht="18" customHeight="1">
      <c r="A33" s="481"/>
      <c r="B33" s="347"/>
      <c r="C33" s="481"/>
      <c r="D33" s="481"/>
      <c r="E33" s="481"/>
      <c r="F33" s="342"/>
      <c r="G33" s="343"/>
      <c r="I33" s="397"/>
      <c r="J33" s="344"/>
      <c r="K33" s="344"/>
      <c r="L33" s="343"/>
      <c r="M33" s="401"/>
      <c r="N33" s="343"/>
      <c r="O33" s="344"/>
    </row>
    <row r="34" spans="1:15" ht="18" customHeight="1">
      <c r="G34" s="404"/>
      <c r="I34" s="405"/>
      <c r="L34" s="343"/>
      <c r="M34" s="401"/>
      <c r="N34" s="343"/>
      <c r="O34" s="344"/>
    </row>
    <row r="35" spans="1:15" s="327" customFormat="1" ht="12.75" customHeight="1">
      <c r="B35" s="328" t="s">
        <v>604</v>
      </c>
      <c r="C35" s="328"/>
      <c r="E35" s="746" t="s">
        <v>605</v>
      </c>
      <c r="F35" s="746"/>
      <c r="G35" s="746"/>
      <c r="L35" s="746"/>
      <c r="M35" s="746"/>
      <c r="N35" s="746"/>
    </row>
    <row r="36" spans="1:15" s="327" customFormat="1" ht="12.75" customHeight="1">
      <c r="B36" s="482"/>
      <c r="C36" s="482"/>
      <c r="E36" s="482"/>
      <c r="F36" s="482"/>
      <c r="G36" s="482"/>
      <c r="L36" s="482"/>
      <c r="M36" s="482"/>
      <c r="N36" s="482"/>
    </row>
    <row r="37" spans="1:15" s="327" customFormat="1" ht="12.75" customHeight="1">
      <c r="B37" s="482"/>
      <c r="C37" s="482"/>
      <c r="E37" s="482"/>
      <c r="F37" s="482"/>
      <c r="G37" s="482"/>
      <c r="L37" s="482"/>
      <c r="M37" s="482"/>
      <c r="N37" s="482"/>
    </row>
    <row r="38" spans="1:15" s="327" customFormat="1" ht="12.75" customHeight="1">
      <c r="B38" s="482"/>
      <c r="C38" s="482"/>
      <c r="E38" s="482"/>
      <c r="F38" s="482"/>
      <c r="G38" s="482"/>
      <c r="L38" s="482"/>
      <c r="M38" s="482"/>
      <c r="N38" s="482"/>
    </row>
    <row r="39" spans="1:15" ht="16.5" customHeight="1">
      <c r="A39" s="329"/>
      <c r="B39" s="330"/>
      <c r="C39" s="331"/>
      <c r="D39" s="332" t="s">
        <v>2</v>
      </c>
      <c r="E39" s="332" t="s">
        <v>7</v>
      </c>
      <c r="F39" s="333" t="s">
        <v>6</v>
      </c>
      <c r="G39" s="334"/>
      <c r="H39" s="335"/>
      <c r="I39" s="335"/>
      <c r="J39" s="335"/>
      <c r="K39" s="336"/>
      <c r="L39" s="336"/>
      <c r="M39" s="337"/>
      <c r="N39" s="337"/>
      <c r="O39" s="334"/>
    </row>
    <row r="40" spans="1:15" ht="14.25" customHeight="1">
      <c r="A40" s="406">
        <v>1</v>
      </c>
      <c r="B40" s="407" t="s">
        <v>361</v>
      </c>
      <c r="C40" s="331" t="s">
        <v>100</v>
      </c>
      <c r="D40" s="331">
        <v>0.47</v>
      </c>
      <c r="E40" s="408">
        <f>I12</f>
        <v>641.85</v>
      </c>
      <c r="F40" s="409">
        <f>E40*D40</f>
        <v>301.66949999999997</v>
      </c>
      <c r="G40" s="336"/>
      <c r="H40" s="410"/>
      <c r="I40" s="410"/>
      <c r="J40" s="411"/>
      <c r="K40" s="411"/>
      <c r="L40" s="410"/>
      <c r="M40" s="410"/>
      <c r="N40" s="410"/>
      <c r="O40" s="410"/>
    </row>
    <row r="41" spans="1:15" ht="13.5" customHeight="1">
      <c r="A41" s="412"/>
      <c r="B41" s="411"/>
      <c r="C41" s="331" t="s">
        <v>101</v>
      </c>
      <c r="D41" s="331">
        <v>0.94</v>
      </c>
      <c r="E41" s="408">
        <f>I14</f>
        <v>281.02999999999997</v>
      </c>
      <c r="F41" s="409">
        <f>E41*D41</f>
        <v>264.16819999999996</v>
      </c>
      <c r="G41" s="336"/>
      <c r="H41" s="410"/>
      <c r="I41" s="410"/>
      <c r="J41" s="411"/>
      <c r="K41" s="411"/>
      <c r="L41" s="410"/>
      <c r="M41" s="410"/>
      <c r="N41" s="410"/>
      <c r="O41" s="410"/>
    </row>
    <row r="42" spans="1:15">
      <c r="A42" s="388"/>
      <c r="B42" s="413"/>
      <c r="C42" s="414"/>
      <c r="D42" s="414"/>
      <c r="E42" s="414"/>
      <c r="F42" s="415"/>
      <c r="G42" s="336"/>
      <c r="H42" s="410"/>
      <c r="I42" s="410"/>
      <c r="J42" s="411"/>
      <c r="K42" s="411"/>
      <c r="L42" s="410"/>
      <c r="M42" s="410"/>
      <c r="N42" s="410"/>
      <c r="O42" s="410"/>
    </row>
    <row r="43" spans="1:15">
      <c r="A43" s="412">
        <v>2</v>
      </c>
      <c r="B43" s="411" t="s">
        <v>56</v>
      </c>
      <c r="C43" s="331" t="s">
        <v>100</v>
      </c>
      <c r="D43" s="331">
        <v>0.35</v>
      </c>
      <c r="E43" s="408">
        <f>F12</f>
        <v>641.85</v>
      </c>
      <c r="F43" s="409">
        <f>E43*D43</f>
        <v>224.64749999999998</v>
      </c>
      <c r="G43" s="336"/>
      <c r="H43" s="410"/>
      <c r="I43" s="410"/>
      <c r="J43" s="411"/>
      <c r="K43" s="411"/>
      <c r="L43" s="410"/>
      <c r="M43" s="410"/>
      <c r="N43" s="410"/>
      <c r="O43" s="410"/>
    </row>
    <row r="44" spans="1:15">
      <c r="A44" s="412"/>
      <c r="B44" s="411"/>
      <c r="C44" s="331" t="s">
        <v>137</v>
      </c>
      <c r="D44" s="331">
        <v>1.1599999999999999</v>
      </c>
      <c r="E44" s="408">
        <f>F18</f>
        <v>343.81</v>
      </c>
      <c r="F44" s="409">
        <f>E44*D44</f>
        <v>398.81959999999998</v>
      </c>
      <c r="G44" s="336"/>
      <c r="H44" s="410"/>
      <c r="I44" s="410"/>
      <c r="J44" s="411"/>
      <c r="K44" s="411"/>
      <c r="L44" s="410"/>
      <c r="M44" s="410"/>
      <c r="N44" s="410"/>
      <c r="O44" s="410"/>
    </row>
    <row r="45" spans="1:15">
      <c r="A45" s="388"/>
      <c r="B45" s="413"/>
      <c r="C45" s="414"/>
      <c r="D45" s="414"/>
      <c r="E45" s="414"/>
      <c r="F45" s="415"/>
      <c r="G45" s="336"/>
      <c r="H45" s="410"/>
      <c r="I45" s="410"/>
      <c r="J45" s="411"/>
      <c r="K45" s="411"/>
      <c r="L45" s="410"/>
      <c r="M45" s="410"/>
      <c r="N45" s="410"/>
      <c r="O45" s="410"/>
    </row>
    <row r="46" spans="1:15">
      <c r="A46" s="412">
        <v>3</v>
      </c>
      <c r="B46" s="411" t="s">
        <v>57</v>
      </c>
      <c r="C46" s="331" t="s">
        <v>100</v>
      </c>
      <c r="D46" s="331">
        <v>0.32</v>
      </c>
      <c r="E46" s="408">
        <f>F12</f>
        <v>641.85</v>
      </c>
      <c r="F46" s="409">
        <f>E46*D46</f>
        <v>205.39200000000002</v>
      </c>
      <c r="G46" s="336"/>
      <c r="H46" s="410"/>
      <c r="I46" s="410"/>
      <c r="J46" s="411"/>
      <c r="K46" s="411"/>
      <c r="L46" s="410"/>
      <c r="M46" s="410"/>
      <c r="N46" s="410"/>
      <c r="O46" s="410"/>
    </row>
    <row r="47" spans="1:15">
      <c r="A47" s="412"/>
      <c r="B47" s="411"/>
      <c r="C47" s="331" t="s">
        <v>138</v>
      </c>
      <c r="D47" s="331">
        <v>0.47499999999999998</v>
      </c>
      <c r="E47" s="408">
        <f>F20</f>
        <v>372.08</v>
      </c>
      <c r="F47" s="409">
        <f>E47*D47</f>
        <v>176.73799999999997</v>
      </c>
      <c r="G47" s="336"/>
      <c r="H47" s="410"/>
      <c r="I47" s="410"/>
      <c r="J47" s="411"/>
      <c r="K47" s="411"/>
      <c r="L47" s="410"/>
      <c r="M47" s="410"/>
      <c r="N47" s="410"/>
      <c r="O47" s="410"/>
    </row>
    <row r="48" spans="1:15">
      <c r="A48" s="388"/>
      <c r="B48" s="413"/>
      <c r="C48" s="414"/>
      <c r="D48" s="414"/>
      <c r="E48" s="414"/>
      <c r="F48" s="415"/>
      <c r="G48" s="336"/>
      <c r="H48" s="410"/>
      <c r="I48" s="410"/>
      <c r="J48" s="411"/>
      <c r="K48" s="411"/>
      <c r="L48" s="410"/>
      <c r="M48" s="410"/>
      <c r="N48" s="410"/>
      <c r="O48" s="410"/>
    </row>
    <row r="49" spans="1:15">
      <c r="A49" s="412">
        <v>4</v>
      </c>
      <c r="B49" s="411" t="s">
        <v>49</v>
      </c>
      <c r="C49" s="331" t="s">
        <v>100</v>
      </c>
      <c r="D49" s="331">
        <v>0.42499999999999999</v>
      </c>
      <c r="E49" s="408">
        <f>F12</f>
        <v>641.85</v>
      </c>
      <c r="F49" s="409">
        <f>E49*D49</f>
        <v>272.78625</v>
      </c>
      <c r="G49" s="336"/>
      <c r="H49" s="410"/>
      <c r="I49" s="410"/>
      <c r="J49" s="411"/>
      <c r="K49" s="411"/>
      <c r="L49" s="410"/>
      <c r="M49" s="410"/>
      <c r="N49" s="410"/>
      <c r="O49" s="410"/>
    </row>
    <row r="50" spans="1:15">
      <c r="A50" s="412"/>
      <c r="B50" s="411"/>
      <c r="C50" s="331" t="s">
        <v>101</v>
      </c>
      <c r="D50" s="331">
        <v>0.85</v>
      </c>
      <c r="E50" s="408">
        <f>F14</f>
        <v>281.02999999999997</v>
      </c>
      <c r="F50" s="409">
        <f>E50*D50</f>
        <v>238.87549999999996</v>
      </c>
      <c r="G50" s="336"/>
      <c r="H50" s="410"/>
      <c r="I50" s="410"/>
      <c r="J50" s="411"/>
      <c r="K50" s="411"/>
      <c r="L50" s="410"/>
      <c r="M50" s="410"/>
      <c r="N50" s="410"/>
      <c r="O50" s="410"/>
    </row>
    <row r="51" spans="1:15">
      <c r="A51" s="388"/>
      <c r="B51" s="413"/>
      <c r="C51" s="414"/>
      <c r="D51" s="414"/>
      <c r="E51" s="414"/>
      <c r="F51" s="415"/>
      <c r="G51" s="336"/>
      <c r="H51" s="335"/>
      <c r="I51" s="335"/>
      <c r="J51" s="335"/>
      <c r="K51" s="336"/>
      <c r="L51" s="336"/>
      <c r="M51" s="343"/>
      <c r="N51" s="344"/>
      <c r="O51" s="351"/>
    </row>
    <row r="52" spans="1:15">
      <c r="A52" s="412" t="s">
        <v>26</v>
      </c>
      <c r="B52" s="411" t="s">
        <v>58</v>
      </c>
      <c r="C52" s="331" t="s">
        <v>100</v>
      </c>
      <c r="D52" s="331">
        <v>0.42499999999999999</v>
      </c>
      <c r="E52" s="408">
        <f>F12</f>
        <v>641.85</v>
      </c>
      <c r="F52" s="409">
        <f>E52*D52</f>
        <v>272.78625</v>
      </c>
      <c r="G52" s="336"/>
      <c r="H52" s="335"/>
      <c r="I52" s="335"/>
      <c r="J52" s="335"/>
      <c r="K52" s="336"/>
      <c r="L52" s="336"/>
      <c r="M52" s="343"/>
      <c r="N52" s="344"/>
      <c r="O52" s="351"/>
    </row>
    <row r="53" spans="1:15">
      <c r="A53" s="412"/>
      <c r="B53" s="411"/>
      <c r="C53" s="331" t="s">
        <v>101</v>
      </c>
      <c r="D53" s="331">
        <v>0.85</v>
      </c>
      <c r="E53" s="408">
        <f>F14</f>
        <v>281.02999999999997</v>
      </c>
      <c r="F53" s="409">
        <f>E53*D53</f>
        <v>238.87549999999996</v>
      </c>
      <c r="G53" s="336"/>
      <c r="H53" s="410"/>
      <c r="I53" s="416"/>
      <c r="J53" s="416"/>
      <c r="K53" s="416"/>
      <c r="L53" s="410"/>
      <c r="M53" s="338"/>
      <c r="N53" s="338"/>
      <c r="O53" s="351"/>
    </row>
    <row r="54" spans="1:15">
      <c r="A54" s="388"/>
      <c r="B54" s="413"/>
      <c r="C54" s="414"/>
      <c r="D54" s="414"/>
      <c r="E54" s="414"/>
      <c r="F54" s="415"/>
      <c r="G54" s="336"/>
      <c r="H54" s="410"/>
      <c r="I54" s="416"/>
      <c r="J54" s="416"/>
      <c r="K54" s="416"/>
      <c r="L54" s="410"/>
      <c r="M54" s="338"/>
      <c r="N54" s="338"/>
      <c r="O54" s="351"/>
    </row>
    <row r="55" spans="1:15">
      <c r="A55" s="412">
        <v>5</v>
      </c>
      <c r="B55" s="411" t="s">
        <v>165</v>
      </c>
      <c r="C55" s="331" t="s">
        <v>100</v>
      </c>
      <c r="D55" s="331">
        <v>1.4999999999999999E-2</v>
      </c>
      <c r="E55" s="408">
        <f>F12</f>
        <v>641.85</v>
      </c>
      <c r="F55" s="409">
        <f>E55*D55</f>
        <v>9.6277500000000007</v>
      </c>
      <c r="G55" s="336"/>
      <c r="H55" s="410"/>
      <c r="I55" s="416"/>
      <c r="J55" s="416"/>
      <c r="K55" s="416"/>
      <c r="L55" s="410"/>
      <c r="M55" s="338"/>
      <c r="N55" s="338"/>
      <c r="O55" s="351"/>
    </row>
    <row r="56" spans="1:15">
      <c r="A56" s="388"/>
      <c r="B56" s="413"/>
      <c r="C56" s="414"/>
      <c r="D56" s="414"/>
      <c r="E56" s="414"/>
      <c r="F56" s="415"/>
      <c r="G56" s="336"/>
      <c r="H56" s="336"/>
      <c r="I56" s="335"/>
      <c r="J56" s="335"/>
      <c r="K56" s="335"/>
      <c r="L56" s="336"/>
      <c r="M56" s="343"/>
      <c r="N56" s="343"/>
      <c r="O56" s="344"/>
    </row>
    <row r="57" spans="1:15">
      <c r="A57" s="406">
        <v>6</v>
      </c>
      <c r="B57" s="407" t="s">
        <v>61</v>
      </c>
      <c r="C57" s="331" t="s">
        <v>100</v>
      </c>
      <c r="D57" s="331">
        <v>2.5000000000000001E-2</v>
      </c>
      <c r="E57" s="408">
        <f>F12</f>
        <v>641.85</v>
      </c>
      <c r="F57" s="409">
        <f>E57*D57</f>
        <v>16.046250000000001</v>
      </c>
      <c r="G57" s="336"/>
      <c r="H57" s="336"/>
      <c r="I57" s="335"/>
      <c r="J57" s="335"/>
      <c r="K57" s="335"/>
      <c r="L57" s="336"/>
      <c r="M57" s="343"/>
      <c r="N57" s="343"/>
      <c r="O57" s="344"/>
    </row>
    <row r="58" spans="1:15">
      <c r="A58" s="388"/>
      <c r="B58" s="413"/>
      <c r="C58" s="414"/>
      <c r="D58" s="414"/>
      <c r="E58" s="414"/>
      <c r="F58" s="415"/>
      <c r="G58" s="336"/>
      <c r="H58" s="336"/>
      <c r="I58" s="344"/>
      <c r="J58" s="344"/>
      <c r="K58" s="344"/>
      <c r="L58" s="343"/>
      <c r="M58" s="343"/>
      <c r="N58" s="343"/>
      <c r="O58" s="344"/>
    </row>
    <row r="59" spans="1:15">
      <c r="A59" s="406">
        <v>7</v>
      </c>
      <c r="B59" s="417" t="s">
        <v>62</v>
      </c>
      <c r="C59" s="331" t="s">
        <v>100</v>
      </c>
      <c r="D59" s="331">
        <v>2.1999999999999999E-2</v>
      </c>
      <c r="E59" s="408">
        <f>F12</f>
        <v>641.85</v>
      </c>
      <c r="F59" s="408">
        <f>E59*D59</f>
        <v>14.120699999999999</v>
      </c>
      <c r="G59" s="336"/>
      <c r="H59" s="336"/>
      <c r="I59" s="344"/>
      <c r="J59" s="344"/>
      <c r="K59" s="344"/>
      <c r="L59" s="343"/>
      <c r="M59" s="343"/>
      <c r="N59" s="343"/>
      <c r="O59" s="344"/>
    </row>
    <row r="60" spans="1:15">
      <c r="A60" s="388"/>
      <c r="B60" s="419"/>
      <c r="C60" s="404"/>
      <c r="D60" s="396"/>
      <c r="E60" s="420"/>
      <c r="F60" s="421"/>
      <c r="G60" s="336"/>
      <c r="H60" s="336"/>
      <c r="I60" s="344"/>
      <c r="J60" s="344"/>
      <c r="K60" s="344"/>
      <c r="L60" s="343"/>
      <c r="M60" s="343"/>
      <c r="N60" s="343"/>
      <c r="O60" s="344"/>
    </row>
    <row r="61" spans="1:15">
      <c r="A61" s="412">
        <v>8</v>
      </c>
      <c r="B61" s="417" t="s">
        <v>37</v>
      </c>
      <c r="C61" s="331" t="s">
        <v>38</v>
      </c>
      <c r="D61" s="331">
        <v>3.4000000000000002E-2</v>
      </c>
      <c r="E61" s="408">
        <f>F12</f>
        <v>641.85</v>
      </c>
      <c r="F61" s="408">
        <f>E61*D61</f>
        <v>21.822900000000001</v>
      </c>
      <c r="G61" s="336"/>
      <c r="H61" s="336"/>
      <c r="I61" s="344"/>
      <c r="J61" s="344"/>
      <c r="K61" s="344"/>
      <c r="L61" s="343"/>
      <c r="M61" s="343"/>
      <c r="N61" s="343"/>
      <c r="O61" s="344"/>
    </row>
    <row r="62" spans="1:15">
      <c r="A62" s="412"/>
      <c r="B62" s="418"/>
      <c r="C62" s="331" t="s">
        <v>39</v>
      </c>
      <c r="D62" s="331">
        <v>0.12</v>
      </c>
      <c r="E62" s="408">
        <f>F20</f>
        <v>372.08</v>
      </c>
      <c r="F62" s="408">
        <f>E62*D62</f>
        <v>44.6496</v>
      </c>
      <c r="G62" s="336"/>
      <c r="H62" s="336"/>
      <c r="I62" s="344"/>
      <c r="J62" s="344"/>
      <c r="K62" s="344"/>
      <c r="L62" s="343"/>
      <c r="M62" s="343"/>
      <c r="N62" s="343"/>
      <c r="O62" s="344"/>
    </row>
    <row r="63" spans="1:15">
      <c r="A63" s="388"/>
      <c r="B63" s="419"/>
      <c r="C63" s="422"/>
      <c r="D63" s="423"/>
      <c r="E63" s="424"/>
      <c r="F63" s="425"/>
      <c r="G63" s="336"/>
      <c r="H63" s="336"/>
      <c r="I63" s="344"/>
      <c r="J63" s="344"/>
      <c r="K63" s="344"/>
      <c r="L63" s="343"/>
      <c r="M63" s="343"/>
      <c r="N63" s="343"/>
      <c r="O63" s="344"/>
    </row>
    <row r="64" spans="1:15">
      <c r="A64" s="412">
        <v>9</v>
      </c>
      <c r="B64" s="417" t="s">
        <v>48</v>
      </c>
      <c r="C64" s="331" t="s">
        <v>38</v>
      </c>
      <c r="D64" s="331">
        <v>3.0000000000000001E-3</v>
      </c>
      <c r="E64" s="408">
        <f>F12</f>
        <v>641.85</v>
      </c>
      <c r="F64" s="408">
        <f>E64*D64</f>
        <v>1.9255500000000001</v>
      </c>
      <c r="G64" s="336"/>
      <c r="H64" s="336"/>
      <c r="I64" s="344"/>
      <c r="J64" s="344"/>
      <c r="K64" s="344"/>
      <c r="L64" s="343"/>
      <c r="M64" s="343"/>
      <c r="N64" s="343"/>
      <c r="O64" s="344"/>
    </row>
    <row r="65" spans="1:15">
      <c r="A65" s="388"/>
      <c r="B65" s="419"/>
      <c r="C65" s="422"/>
      <c r="D65" s="423"/>
      <c r="E65" s="424"/>
      <c r="F65" s="425"/>
      <c r="G65" s="336"/>
      <c r="H65" s="336"/>
      <c r="I65" s="344"/>
      <c r="J65" s="344"/>
      <c r="K65" s="344"/>
      <c r="L65" s="343"/>
      <c r="M65" s="343"/>
      <c r="N65" s="343"/>
      <c r="O65" s="344"/>
    </row>
    <row r="66" spans="1:15">
      <c r="A66" s="331">
        <v>10</v>
      </c>
      <c r="B66" s="426" t="s">
        <v>155</v>
      </c>
      <c r="C66" s="331" t="s">
        <v>156</v>
      </c>
      <c r="D66" s="427"/>
      <c r="E66" s="331"/>
      <c r="F66" s="428">
        <v>0</v>
      </c>
      <c r="G66" s="336"/>
      <c r="H66" s="336"/>
      <c r="I66" s="344"/>
      <c r="J66" s="344"/>
      <c r="K66" s="344"/>
      <c r="L66" s="343"/>
      <c r="M66" s="343"/>
      <c r="N66" s="343"/>
      <c r="O66" s="344"/>
    </row>
    <row r="67" spans="1:15">
      <c r="A67" s="388">
        <v>11</v>
      </c>
      <c r="B67" s="426" t="s">
        <v>157</v>
      </c>
      <c r="C67" s="388" t="s">
        <v>103</v>
      </c>
      <c r="D67" s="390"/>
      <c r="E67" s="388"/>
      <c r="F67" s="429">
        <v>0</v>
      </c>
      <c r="G67" s="336"/>
      <c r="H67" s="336"/>
      <c r="I67" s="344"/>
      <c r="J67" s="344"/>
      <c r="K67" s="344"/>
      <c r="L67" s="343"/>
      <c r="M67" s="343"/>
      <c r="N67" s="343"/>
      <c r="O67" s="344"/>
    </row>
    <row r="68" spans="1:15">
      <c r="A68" s="388">
        <v>12</v>
      </c>
      <c r="B68" s="426" t="s">
        <v>158</v>
      </c>
      <c r="C68" s="388" t="s">
        <v>103</v>
      </c>
      <c r="D68" s="390"/>
      <c r="E68" s="388"/>
      <c r="F68" s="429">
        <v>0</v>
      </c>
      <c r="G68" s="336"/>
      <c r="H68" s="336"/>
      <c r="I68" s="344"/>
      <c r="J68" s="344"/>
      <c r="K68" s="344"/>
      <c r="L68" s="343"/>
      <c r="M68" s="343"/>
      <c r="N68" s="343"/>
      <c r="O68" s="344"/>
    </row>
    <row r="69" spans="1:15">
      <c r="A69" s="388">
        <v>13</v>
      </c>
      <c r="B69" s="426" t="s">
        <v>159</v>
      </c>
      <c r="C69" s="388" t="s">
        <v>103</v>
      </c>
      <c r="D69" s="390"/>
      <c r="E69" s="388"/>
      <c r="F69" s="429">
        <v>0</v>
      </c>
      <c r="G69" s="336"/>
      <c r="H69" s="336"/>
      <c r="I69" s="344"/>
      <c r="J69" s="344"/>
      <c r="K69" s="344"/>
      <c r="L69" s="343"/>
      <c r="M69" s="343"/>
      <c r="N69" s="343"/>
      <c r="O69" s="344"/>
    </row>
    <row r="70" spans="1:15">
      <c r="A70" s="388">
        <v>14</v>
      </c>
      <c r="B70" s="426" t="s">
        <v>160</v>
      </c>
      <c r="C70" s="388" t="s">
        <v>161</v>
      </c>
      <c r="D70" s="390"/>
      <c r="E70" s="388"/>
      <c r="F70" s="429">
        <v>0</v>
      </c>
      <c r="G70" s="336"/>
      <c r="H70" s="336"/>
      <c r="I70" s="344"/>
      <c r="J70" s="344"/>
      <c r="K70" s="344"/>
      <c r="L70" s="343"/>
      <c r="M70" s="343"/>
      <c r="N70" s="343"/>
      <c r="O70" s="344"/>
    </row>
    <row r="71" spans="1:15">
      <c r="A71" s="430">
        <v>15</v>
      </c>
      <c r="B71" s="411" t="s">
        <v>666</v>
      </c>
      <c r="C71" s="331" t="s">
        <v>100</v>
      </c>
      <c r="D71" s="331">
        <v>0.42499999999999999</v>
      </c>
      <c r="E71" s="408">
        <f>F34</f>
        <v>0</v>
      </c>
      <c r="F71" s="409">
        <f>E71*D71</f>
        <v>0</v>
      </c>
      <c r="G71" s="336"/>
      <c r="H71" s="336"/>
      <c r="I71" s="344"/>
      <c r="J71" s="344"/>
      <c r="K71" s="344"/>
      <c r="L71" s="343"/>
      <c r="M71" s="343"/>
      <c r="N71" s="343"/>
      <c r="O71" s="344"/>
    </row>
    <row r="72" spans="1:15">
      <c r="A72" s="390"/>
      <c r="B72" s="531"/>
      <c r="C72" s="331" t="s">
        <v>101</v>
      </c>
      <c r="D72" s="331">
        <v>0.85</v>
      </c>
      <c r="E72" s="408">
        <f>F36</f>
        <v>0</v>
      </c>
      <c r="F72" s="409">
        <f>E72*D72</f>
        <v>0</v>
      </c>
      <c r="G72" s="336"/>
      <c r="H72" s="336"/>
      <c r="I72" s="344"/>
      <c r="J72" s="344"/>
      <c r="K72" s="344"/>
      <c r="L72" s="343"/>
      <c r="M72" s="343"/>
      <c r="N72" s="343"/>
      <c r="O72" s="344"/>
    </row>
    <row r="73" spans="1:15">
      <c r="A73" s="430"/>
      <c r="B73" s="411"/>
      <c r="C73" s="431"/>
      <c r="D73" s="431"/>
      <c r="E73" s="431"/>
      <c r="F73" s="432"/>
      <c r="G73" s="336"/>
      <c r="H73" s="336"/>
      <c r="I73" s="344"/>
      <c r="J73" s="344"/>
      <c r="K73" s="344"/>
      <c r="L73" s="343"/>
      <c r="M73" s="343"/>
      <c r="N73" s="343"/>
      <c r="O73" s="344"/>
    </row>
    <row r="74" spans="1:15">
      <c r="A74" s="430"/>
      <c r="B74" s="411"/>
      <c r="C74" s="431"/>
      <c r="D74" s="431"/>
      <c r="E74" s="431"/>
      <c r="F74" s="432"/>
      <c r="G74" s="336"/>
      <c r="H74" s="336"/>
      <c r="I74" s="344"/>
      <c r="J74" s="344"/>
      <c r="K74" s="344"/>
      <c r="L74" s="343"/>
      <c r="M74" s="343"/>
      <c r="N74" s="343"/>
      <c r="O74" s="344"/>
    </row>
    <row r="75" spans="1:15">
      <c r="A75" s="430"/>
      <c r="B75" s="411"/>
      <c r="C75" s="431"/>
      <c r="D75" s="431"/>
      <c r="E75" s="431"/>
      <c r="F75" s="432"/>
      <c r="G75" s="336"/>
      <c r="H75" s="336"/>
      <c r="I75" s="344"/>
      <c r="J75" s="344"/>
      <c r="K75" s="344"/>
      <c r="L75" s="343"/>
      <c r="M75" s="343"/>
      <c r="N75" s="343"/>
      <c r="O75" s="344"/>
    </row>
    <row r="76" spans="1:15">
      <c r="A76" s="430"/>
      <c r="B76" s="760" t="s">
        <v>603</v>
      </c>
      <c r="C76" s="760"/>
      <c r="D76" s="433" t="s">
        <v>162</v>
      </c>
      <c r="E76" s="433"/>
      <c r="F76" s="434" t="s">
        <v>163</v>
      </c>
      <c r="G76" s="336"/>
      <c r="H76" s="336"/>
      <c r="I76" s="344"/>
      <c r="J76" s="344"/>
      <c r="K76" s="344"/>
      <c r="L76" s="343"/>
      <c r="M76" s="343"/>
      <c r="N76" s="343"/>
      <c r="O76" s="344"/>
    </row>
    <row r="77" spans="1:15">
      <c r="A77" s="430"/>
      <c r="B77" s="760" t="s">
        <v>164</v>
      </c>
      <c r="C77" s="760"/>
      <c r="D77" s="435">
        <v>0.05</v>
      </c>
      <c r="E77" s="433"/>
      <c r="F77" s="435">
        <v>0</v>
      </c>
      <c r="G77" s="336"/>
      <c r="H77" s="336"/>
      <c r="I77" s="344"/>
      <c r="J77" s="344"/>
      <c r="K77" s="344"/>
      <c r="L77" s="343"/>
      <c r="M77" s="343"/>
      <c r="N77" s="343"/>
      <c r="O77" s="344"/>
    </row>
    <row r="78" spans="1:15" ht="12.75" thickBot="1">
      <c r="A78" s="430"/>
      <c r="B78" s="760" t="s">
        <v>364</v>
      </c>
      <c r="C78" s="760"/>
      <c r="D78" s="436">
        <v>0.04</v>
      </c>
      <c r="E78" s="437"/>
      <c r="F78" s="436">
        <v>0.108</v>
      </c>
      <c r="G78" s="336"/>
      <c r="H78" s="336"/>
      <c r="I78" s="344"/>
      <c r="J78" s="344"/>
      <c r="K78" s="344"/>
      <c r="L78" s="343"/>
      <c r="M78" s="343"/>
      <c r="N78" s="343"/>
      <c r="O78" s="344"/>
    </row>
    <row r="79" spans="1:15" ht="12.75" thickTop="1">
      <c r="A79" s="430"/>
      <c r="B79" s="760" t="s">
        <v>91</v>
      </c>
      <c r="C79" s="760"/>
      <c r="D79" s="438">
        <f>SUM(D77:D78)</f>
        <v>0.09</v>
      </c>
      <c r="E79" s="438"/>
      <c r="F79" s="438">
        <f>SUM(F77:F78)</f>
        <v>0.108</v>
      </c>
      <c r="G79" s="336"/>
      <c r="H79" s="336"/>
      <c r="I79" s="344"/>
      <c r="J79" s="344"/>
      <c r="K79" s="344"/>
      <c r="L79" s="343"/>
      <c r="M79" s="343"/>
      <c r="N79" s="343"/>
      <c r="O79" s="344"/>
    </row>
    <row r="80" spans="1:15">
      <c r="A80" s="430"/>
      <c r="B80" s="760" t="s">
        <v>365</v>
      </c>
      <c r="C80" s="760"/>
      <c r="D80" s="435">
        <v>-0.08</v>
      </c>
      <c r="E80" s="433"/>
      <c r="F80" s="435">
        <v>0.05</v>
      </c>
      <c r="G80" s="336"/>
      <c r="H80" s="336"/>
      <c r="I80" s="344"/>
      <c r="J80" s="344"/>
      <c r="K80" s="344"/>
      <c r="L80" s="343"/>
      <c r="M80" s="343"/>
      <c r="N80" s="343"/>
      <c r="O80" s="344"/>
    </row>
    <row r="81" spans="1:15">
      <c r="A81" s="430"/>
      <c r="B81" s="416"/>
      <c r="C81" s="416"/>
      <c r="D81" s="514"/>
      <c r="E81" s="515"/>
      <c r="F81" s="514"/>
      <c r="G81" s="336"/>
      <c r="H81" s="336"/>
      <c r="I81" s="344"/>
      <c r="J81" s="344"/>
      <c r="K81" s="344"/>
      <c r="L81" s="343"/>
      <c r="M81" s="343"/>
      <c r="N81" s="343"/>
      <c r="O81" s="344"/>
    </row>
    <row r="82" spans="1:15">
      <c r="A82" s="430"/>
      <c r="B82" s="416"/>
      <c r="C82" s="416"/>
      <c r="D82" s="514"/>
      <c r="E82" s="515"/>
      <c r="F82" s="514"/>
      <c r="G82" s="336"/>
      <c r="H82" s="336"/>
      <c r="I82" s="344"/>
      <c r="J82" s="344"/>
      <c r="K82" s="344"/>
      <c r="L82" s="343"/>
      <c r="M82" s="343"/>
      <c r="N82" s="343"/>
      <c r="O82" s="344"/>
    </row>
    <row r="83" spans="1:15">
      <c r="A83" s="430"/>
      <c r="B83" s="416"/>
      <c r="C83" s="416"/>
      <c r="D83" s="514"/>
      <c r="E83" s="515"/>
      <c r="F83" s="514"/>
      <c r="G83" s="336"/>
      <c r="H83" s="336"/>
      <c r="I83" s="344"/>
      <c r="J83" s="344"/>
      <c r="K83" s="344"/>
      <c r="L83" s="343"/>
      <c r="M83" s="343"/>
      <c r="N83" s="343"/>
      <c r="O83" s="344"/>
    </row>
    <row r="84" spans="1:15" ht="27" customHeight="1">
      <c r="A84" s="756" t="str">
        <f>A1</f>
        <v xml:space="preserve">SHREE MAHAGANPATI AGRO PRODUCER COMPANY LIMITED </v>
      </c>
      <c r="B84" s="756"/>
      <c r="C84" s="756"/>
      <c r="D84" s="756"/>
      <c r="E84" s="756"/>
      <c r="F84" s="756"/>
      <c r="G84" s="756"/>
      <c r="H84" s="756"/>
      <c r="I84" s="756"/>
      <c r="J84" s="756"/>
      <c r="K84" s="756"/>
      <c r="L84" s="756"/>
      <c r="M84" s="756"/>
      <c r="N84" s="756"/>
      <c r="O84" s="756"/>
    </row>
    <row r="85" spans="1:15" ht="12.75">
      <c r="A85" s="757" t="str">
        <f>A2</f>
        <v>A/P-THANAPUDE  TAL. WALWA, DIST. SANGLI.</v>
      </c>
      <c r="B85" s="757"/>
      <c r="C85" s="757"/>
      <c r="D85" s="757"/>
      <c r="E85" s="757"/>
      <c r="F85" s="757"/>
      <c r="G85" s="757"/>
      <c r="H85" s="757"/>
      <c r="I85" s="757"/>
      <c r="J85" s="757"/>
      <c r="K85" s="757"/>
      <c r="L85" s="757"/>
      <c r="M85" s="757"/>
      <c r="N85" s="757"/>
      <c r="O85" s="757"/>
    </row>
    <row r="87" spans="1:15" ht="42" customHeight="1">
      <c r="A87" s="346"/>
      <c r="B87" s="767" t="str">
        <f>B4</f>
        <v>NAME OF WORK : PROPOSED NEW CONSTRUCTON WORK OF STORAGE PACK HOUSE  OF SHREE MAHAGANPATI  AGRO PRODUCER COMPANY LIMITED,     IN GAT  NO.121.  A/P-THANAPUDE   TAL. WALWA, DIST. SANGLI.</v>
      </c>
      <c r="C87" s="767"/>
      <c r="D87" s="767"/>
      <c r="E87" s="767"/>
      <c r="F87" s="767"/>
      <c r="G87" s="767"/>
      <c r="H87" s="767"/>
      <c r="I87" s="767"/>
      <c r="J87" s="767"/>
      <c r="K87" s="767"/>
      <c r="L87" s="767"/>
      <c r="M87" s="767"/>
      <c r="N87" s="767"/>
      <c r="O87" s="338"/>
    </row>
    <row r="88" spans="1:15" ht="12.75">
      <c r="A88" s="346"/>
      <c r="B88" s="340"/>
      <c r="C88" s="340"/>
      <c r="D88" s="340"/>
      <c r="E88" s="340"/>
      <c r="F88" s="340"/>
      <c r="G88" s="340"/>
      <c r="H88" s="340"/>
      <c r="I88" s="340"/>
      <c r="J88" s="346"/>
      <c r="K88" s="439"/>
      <c r="L88" s="439"/>
      <c r="M88" s="352"/>
      <c r="N88" s="352"/>
      <c r="O88" s="352"/>
    </row>
    <row r="89" spans="1:15" ht="22.5" customHeight="1">
      <c r="B89" s="768" t="str">
        <f>Measurment!B8</f>
        <v>SUB WORK  I : -PROPOSED NEW CONSTRUCTON WORK OF STORAGE PACK HOUSE</v>
      </c>
      <c r="C89" s="768"/>
      <c r="D89" s="768"/>
      <c r="E89" s="768"/>
      <c r="F89" s="768"/>
      <c r="G89" s="768"/>
    </row>
    <row r="90" spans="1:15" ht="12.75" thickBot="1">
      <c r="B90" s="341"/>
      <c r="C90" s="341"/>
      <c r="D90" s="341"/>
      <c r="E90" s="341"/>
      <c r="M90" s="766" t="str">
        <f>J6</f>
        <v>BASED ON STATE SSR 2020-2021</v>
      </c>
      <c r="N90" s="766"/>
      <c r="O90" s="766"/>
    </row>
    <row r="91" spans="1:15" s="440" customFormat="1" ht="12" customHeight="1">
      <c r="A91" s="779" t="s">
        <v>96</v>
      </c>
      <c r="B91" s="761" t="s">
        <v>97</v>
      </c>
      <c r="C91" s="776" t="s">
        <v>119</v>
      </c>
      <c r="D91" s="761" t="s">
        <v>93</v>
      </c>
      <c r="E91" s="776" t="s">
        <v>98</v>
      </c>
      <c r="F91" s="782" t="s">
        <v>166</v>
      </c>
      <c r="G91" s="747" t="s">
        <v>366</v>
      </c>
      <c r="H91" s="752" t="s">
        <v>99</v>
      </c>
      <c r="I91" s="752"/>
      <c r="J91" s="753"/>
      <c r="K91" s="749" t="s">
        <v>167</v>
      </c>
      <c r="L91" s="789" t="s">
        <v>368</v>
      </c>
      <c r="M91" s="749" t="s">
        <v>367</v>
      </c>
      <c r="N91" s="789" t="s">
        <v>368</v>
      </c>
      <c r="O91" s="773" t="s">
        <v>6</v>
      </c>
    </row>
    <row r="92" spans="1:15" s="440" customFormat="1" ht="12" customHeight="1">
      <c r="A92" s="780"/>
      <c r="B92" s="762"/>
      <c r="C92" s="777"/>
      <c r="D92" s="762"/>
      <c r="E92" s="777"/>
      <c r="F92" s="783"/>
      <c r="G92" s="748"/>
      <c r="H92" s="758" t="s">
        <v>100</v>
      </c>
      <c r="I92" s="758" t="s">
        <v>101</v>
      </c>
      <c r="J92" s="771" t="s">
        <v>87</v>
      </c>
      <c r="K92" s="754"/>
      <c r="L92" s="790"/>
      <c r="M92" s="750"/>
      <c r="N92" s="790"/>
      <c r="O92" s="774"/>
    </row>
    <row r="93" spans="1:15" s="440" customFormat="1" ht="12" customHeight="1">
      <c r="A93" s="780"/>
      <c r="B93" s="762"/>
      <c r="C93" s="777"/>
      <c r="D93" s="762"/>
      <c r="E93" s="777"/>
      <c r="F93" s="783"/>
      <c r="G93" s="748"/>
      <c r="H93" s="758"/>
      <c r="I93" s="769"/>
      <c r="J93" s="771"/>
      <c r="K93" s="754"/>
      <c r="L93" s="791"/>
      <c r="M93" s="751"/>
      <c r="N93" s="791"/>
      <c r="O93" s="774"/>
    </row>
    <row r="94" spans="1:15" s="440" customFormat="1" ht="12" customHeight="1" thickBot="1">
      <c r="A94" s="781"/>
      <c r="B94" s="763"/>
      <c r="C94" s="778"/>
      <c r="D94" s="763"/>
      <c r="E94" s="778"/>
      <c r="F94" s="784"/>
      <c r="G94" s="441">
        <f>D80</f>
        <v>-0.08</v>
      </c>
      <c r="H94" s="759"/>
      <c r="I94" s="770"/>
      <c r="J94" s="772"/>
      <c r="K94" s="755"/>
      <c r="L94" s="442" t="s">
        <v>139</v>
      </c>
      <c r="M94" s="443">
        <f>D77</f>
        <v>0.05</v>
      </c>
      <c r="N94" s="444" t="s">
        <v>369</v>
      </c>
      <c r="O94" s="775"/>
    </row>
    <row r="95" spans="1:15" s="454" customFormat="1" ht="12.75" thickBot="1">
      <c r="A95" s="446">
        <v>1</v>
      </c>
      <c r="B95" s="447">
        <v>2</v>
      </c>
      <c r="C95" s="448">
        <v>3</v>
      </c>
      <c r="D95" s="447">
        <v>4</v>
      </c>
      <c r="E95" s="448">
        <v>5</v>
      </c>
      <c r="F95" s="445">
        <v>6</v>
      </c>
      <c r="G95" s="449">
        <v>7</v>
      </c>
      <c r="H95" s="450">
        <v>8</v>
      </c>
      <c r="I95" s="451">
        <v>9</v>
      </c>
      <c r="J95" s="452">
        <v>10</v>
      </c>
      <c r="K95" s="445">
        <v>11</v>
      </c>
      <c r="L95" s="453">
        <v>12</v>
      </c>
      <c r="M95" s="445">
        <v>13</v>
      </c>
      <c r="N95" s="449">
        <v>14</v>
      </c>
      <c r="O95" s="445">
        <v>15</v>
      </c>
    </row>
    <row r="96" spans="1:15" ht="18" customHeight="1">
      <c r="A96" s="455"/>
      <c r="B96" s="455"/>
      <c r="C96" s="455"/>
      <c r="D96" s="455"/>
      <c r="E96" s="455"/>
      <c r="F96" s="456"/>
      <c r="G96" s="457"/>
      <c r="H96" s="457"/>
      <c r="I96" s="457"/>
      <c r="J96" s="457"/>
      <c r="K96" s="458"/>
      <c r="L96" s="457"/>
      <c r="M96" s="457"/>
      <c r="N96" s="458"/>
      <c r="O96" s="457"/>
    </row>
    <row r="97" spans="1:15" s="520" customFormat="1" ht="39.75" customHeight="1">
      <c r="A97" s="516">
        <f>Measurment!A12</f>
        <v>1</v>
      </c>
      <c r="B97" s="530" t="str">
        <f>Measurment!B12</f>
        <v>Excavation for foundation in earth, soil of all types, sand, gravel and soft murum, including removing the excavated material up to a distance of 50 m. beyond the building area and stacking and spreading as directed, dewatering, preparing the bed for the foundation and necessary back filling, ramming, watering including shoring and strutting etc. complete. (Lift upto 1.5 m.) By Mechanical Means....(INo21-02, PgNo 197) (STATE SSR ) Item Spec: (Bd.A.1 Page No. 259)</v>
      </c>
      <c r="C97" s="517">
        <f>Measurment!M18</f>
        <v>29</v>
      </c>
      <c r="D97" s="516" t="str">
        <f>Measurment!N18</f>
        <v>C.um</v>
      </c>
      <c r="E97" s="518" t="s">
        <v>646</v>
      </c>
      <c r="F97" s="519">
        <v>157</v>
      </c>
      <c r="G97" s="519"/>
      <c r="H97" s="519"/>
      <c r="I97" s="519"/>
      <c r="J97" s="519"/>
      <c r="K97" s="519"/>
      <c r="L97" s="517">
        <f>SUM(F97:K97)</f>
        <v>157</v>
      </c>
      <c r="M97" s="517">
        <f>L97*$M$94</f>
        <v>7.8500000000000005</v>
      </c>
      <c r="N97" s="517">
        <f>ROUND(L97+M97,2)</f>
        <v>164.85</v>
      </c>
      <c r="O97" s="517">
        <f>ROUND(C97*N97,0)</f>
        <v>4781</v>
      </c>
    </row>
    <row r="98" spans="1:15" s="520" customFormat="1" ht="12" customHeight="1">
      <c r="A98" s="516"/>
      <c r="B98" s="516"/>
      <c r="C98" s="517"/>
      <c r="D98" s="516"/>
      <c r="E98" s="518"/>
      <c r="F98" s="519"/>
      <c r="G98" s="519"/>
      <c r="H98" s="519"/>
      <c r="I98" s="519"/>
      <c r="J98" s="519"/>
      <c r="K98" s="519"/>
      <c r="L98" s="517"/>
      <c r="M98" s="517"/>
      <c r="N98" s="517"/>
      <c r="O98" s="517"/>
    </row>
    <row r="99" spans="1:15" s="520" customFormat="1" ht="39.75" customHeight="1">
      <c r="A99" s="516">
        <f>Measurment!A20</f>
        <v>2</v>
      </c>
      <c r="B99" s="530" t="str">
        <f>Measurment!B20</f>
        <v xml:space="preserve"> Excavation for foundation in hard murum including removing the excavated material upto distance of 50 metres beyond the building area and stacking and spreading as directed, dewatering, preparing the bed for the foundation and necessary back filling, ramming, watering including shoring and strutting etc. complete. (Lift upto 1.50 m) By Mechanical Mean....(INo 21-06, PgNo 197) (STATE SSR ) Item Spec: (Bd.A.2 Page No. 259)</v>
      </c>
      <c r="C99" s="517">
        <f>Measurment!M26</f>
        <v>58</v>
      </c>
      <c r="D99" s="516" t="str">
        <f>Measurment!N26</f>
        <v>C.um</v>
      </c>
      <c r="E99" s="518" t="s">
        <v>647</v>
      </c>
      <c r="F99" s="519">
        <v>172</v>
      </c>
      <c r="G99" s="519"/>
      <c r="H99" s="519"/>
      <c r="I99" s="519"/>
      <c r="J99" s="519"/>
      <c r="K99" s="519"/>
      <c r="L99" s="517">
        <f>SUM(F99:K99)</f>
        <v>172</v>
      </c>
      <c r="M99" s="517">
        <f>L99*$M$94</f>
        <v>8.6</v>
      </c>
      <c r="N99" s="517">
        <f>ROUND(L99+M99,2)</f>
        <v>180.6</v>
      </c>
      <c r="O99" s="517">
        <f>ROUND(C99*N99,0)</f>
        <v>10475</v>
      </c>
    </row>
    <row r="100" spans="1:15" s="520" customFormat="1" ht="10.5" customHeight="1">
      <c r="A100" s="516"/>
      <c r="B100" s="516"/>
      <c r="C100" s="517"/>
      <c r="D100" s="516"/>
      <c r="E100" s="518"/>
      <c r="F100" s="519"/>
      <c r="G100" s="519"/>
      <c r="H100" s="519"/>
      <c r="I100" s="519"/>
      <c r="J100" s="519"/>
      <c r="K100" s="519"/>
      <c r="L100" s="517"/>
      <c r="M100" s="517"/>
      <c r="N100" s="517"/>
      <c r="O100" s="517"/>
    </row>
    <row r="101" spans="1:15" s="520" customFormat="1" ht="39.75" customHeight="1">
      <c r="A101" s="516">
        <f>Measurment!A28</f>
        <v>3</v>
      </c>
      <c r="B101" s="530" t="str">
        <f>Measurment!B28</f>
        <v xml:space="preserve"> Providing and laying Cast in situ/Ready Mix cement concrete in M-10 of trap/ granitel quartzitel gneiss metal for foundation and bedding including bailing out water, Steel centering, formwork, laying/pumping, compacting, roughening them if special finish is to be provided, finishing if required and curing complete, with fully automatic micro processor based PLC with SCADA enabled reversible Drum Type mixer/concrete Batch mix plant (Pan mixer) etc. complete. With fine aggregate (Natural Sand / Crushed sand VSI Grade finely washed etc)....(INo24-01, PgNo 226) ( STATE SSR ) Item Spec: (Bd. E. 1 Page No. 287)</v>
      </c>
      <c r="C101" s="517">
        <f>Measurment!M35</f>
        <v>7</v>
      </c>
      <c r="D101" s="516" t="str">
        <f>Measurment!N35</f>
        <v>C.um</v>
      </c>
      <c r="E101" s="518" t="s">
        <v>648</v>
      </c>
      <c r="F101" s="519">
        <v>4766</v>
      </c>
      <c r="G101" s="519">
        <f>F101*G94</f>
        <v>-381.28000000000003</v>
      </c>
      <c r="H101" s="519">
        <f>F49</f>
        <v>272.78625</v>
      </c>
      <c r="I101" s="519">
        <f>F50</f>
        <v>238.87549999999996</v>
      </c>
      <c r="J101" s="519"/>
      <c r="K101" s="519"/>
      <c r="L101" s="517">
        <f>SUM(F101:K101)</f>
        <v>4896.3817500000005</v>
      </c>
      <c r="M101" s="517">
        <f>L101*$M$94</f>
        <v>244.81908750000002</v>
      </c>
      <c r="N101" s="517">
        <f>ROUND(L101+M101,2)</f>
        <v>5141.2</v>
      </c>
      <c r="O101" s="517">
        <f>ROUND(C101*N101,0)</f>
        <v>35988</v>
      </c>
    </row>
    <row r="102" spans="1:15" s="520" customFormat="1" ht="11.25" customHeight="1">
      <c r="A102" s="516"/>
      <c r="B102" s="516"/>
      <c r="C102" s="517"/>
      <c r="D102" s="516"/>
      <c r="E102" s="518"/>
      <c r="F102" s="519"/>
      <c r="G102" s="519"/>
      <c r="H102" s="519"/>
      <c r="I102" s="519"/>
      <c r="J102" s="519"/>
      <c r="K102" s="519"/>
      <c r="L102" s="517"/>
      <c r="M102" s="517"/>
      <c r="N102" s="517"/>
      <c r="O102" s="517"/>
    </row>
    <row r="103" spans="1:15" s="520" customFormat="1" ht="39.75" customHeight="1">
      <c r="A103" s="516">
        <f>Measurment!A37</f>
        <v>4</v>
      </c>
      <c r="B103" s="530" t="str">
        <f>Measurment!B37</f>
        <v>Providing and laying Cast in situ/Ready Mix cement concrete M-20 of trap / granite /quartzite/ gneiss metal for R.C.C. work in foundations like raft, strip foundations, grillage and footings of R.C.C. columns and steel stanchions etc. including bailing out water, Steel centering, formwork ,cover blocks, laying/pumping, compaction and curing roughening the surface if special finish is to be provided (Excluding reinforcement and structural steel) etc. complete, with fully automatic micro processor based PLC with SCADA enabled reversible Drum Type mixer/ concrete Batch mix plant (Pan mixer) etc. complete. With fine aggregate (Natural Sand / Crushed sand VSI Grade finely washed etc</v>
      </c>
      <c r="C103" s="517">
        <f>Measurment!M40</f>
        <v>9.0719999999999992</v>
      </c>
      <c r="D103" s="516" t="str">
        <f>Measurment!N40</f>
        <v>C.um</v>
      </c>
      <c r="E103" s="518" t="s">
        <v>649</v>
      </c>
      <c r="F103" s="519">
        <v>5704</v>
      </c>
      <c r="G103" s="519">
        <f>F103*G94</f>
        <v>-456.32</v>
      </c>
      <c r="H103" s="519">
        <f>F49</f>
        <v>272.78625</v>
      </c>
      <c r="I103" s="519">
        <f>F50</f>
        <v>238.87549999999996</v>
      </c>
      <c r="J103" s="519"/>
      <c r="K103" s="519"/>
      <c r="L103" s="517">
        <f>SUM(F103:K103)</f>
        <v>5759.3417500000005</v>
      </c>
      <c r="M103" s="517">
        <f>L103*$M$94</f>
        <v>287.96708750000005</v>
      </c>
      <c r="N103" s="517">
        <f>ROUND(L103+M103,2)</f>
        <v>6047.31</v>
      </c>
      <c r="O103" s="517">
        <f>ROUND(C103*N103,0)</f>
        <v>54861</v>
      </c>
    </row>
    <row r="104" spans="1:15" s="521" customFormat="1" ht="13.5" customHeight="1">
      <c r="A104" s="516"/>
      <c r="B104" s="516"/>
      <c r="C104" s="517"/>
      <c r="D104" s="516"/>
      <c r="E104" s="518"/>
      <c r="F104" s="519"/>
      <c r="G104" s="519"/>
      <c r="H104" s="519"/>
      <c r="I104" s="519"/>
      <c r="J104" s="519"/>
      <c r="K104" s="519"/>
      <c r="L104" s="517"/>
      <c r="M104" s="517"/>
      <c r="N104" s="517"/>
      <c r="O104" s="517"/>
    </row>
    <row r="105" spans="1:15" s="520" customFormat="1" ht="39.75" customHeight="1">
      <c r="A105" s="516">
        <f>Measurment!A42</f>
        <v>5</v>
      </c>
      <c r="B105" s="530" t="str">
        <f>Measurment!B42</f>
        <v>Providing and laying Cast in situ/Ready Mix cement concrete M-20 of trap / granite /quartzite/ gneiss metal for R.C.C. columns as per detailed designs and drawings or as directed including steel centering, formwork, cover blocks compacting and roughening if special finish is to be provided and curing etc. complete. (Excluding reinforcement and structural steel).with fully automatic micro processor based PLC with SCADA enabled reversible Drum Type mixer/ concrete Batch mix plant (Pan mixer) etc. complete. With fine aggregate (Natural Sand / Crushed sand VSI Grade finely washed etc)</v>
      </c>
      <c r="C105" s="517">
        <f>Measurment!M45</f>
        <v>4.83</v>
      </c>
      <c r="D105" s="516" t="str">
        <f>Measurment!N45</f>
        <v>C.um</v>
      </c>
      <c r="E105" s="522" t="s">
        <v>650</v>
      </c>
      <c r="F105" s="519">
        <v>11252</v>
      </c>
      <c r="G105" s="519">
        <f>F105*G94</f>
        <v>-900.16</v>
      </c>
      <c r="H105" s="519">
        <f>F49</f>
        <v>272.78625</v>
      </c>
      <c r="I105" s="519">
        <f>F53</f>
        <v>238.87549999999996</v>
      </c>
      <c r="J105" s="519"/>
      <c r="K105" s="519"/>
      <c r="L105" s="517">
        <f>SUM(F105:K105)</f>
        <v>10863.501749999999</v>
      </c>
      <c r="M105" s="517">
        <f>L105*$M$94</f>
        <v>543.17508750000002</v>
      </c>
      <c r="N105" s="517">
        <f>ROUND(L105+M105,2)</f>
        <v>11406.68</v>
      </c>
      <c r="O105" s="517">
        <f>ROUND(C105*N105,0)</f>
        <v>55094</v>
      </c>
    </row>
    <row r="106" spans="1:15" s="520" customFormat="1" ht="12.75" customHeight="1">
      <c r="A106" s="516"/>
      <c r="B106" s="516"/>
      <c r="C106" s="517"/>
      <c r="D106" s="516"/>
      <c r="E106" s="518"/>
      <c r="F106" s="519"/>
      <c r="G106" s="519"/>
      <c r="H106" s="519"/>
      <c r="I106" s="519"/>
      <c r="J106" s="519"/>
      <c r="K106" s="519"/>
      <c r="L106" s="517"/>
      <c r="M106" s="517"/>
      <c r="N106" s="517"/>
      <c r="O106" s="517"/>
    </row>
    <row r="107" spans="1:15" s="524" customFormat="1" ht="39.75" customHeight="1">
      <c r="A107" s="523">
        <f>Measurment!A47</f>
        <v>6</v>
      </c>
      <c r="B107" s="530" t="str">
        <f>Measurment!B47</f>
        <v xml:space="preserve"> Providing and laying Cast in situ/Ready Mix cement concrete M-20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 with fully automatic micro processor based PLC with SCADA enabled reversible Drum Type mixer/ concrete Batch mix plant (Pan mixer) etc. complete. With fine aggregate (Natural Sand / Crushed sand VSI Grade finely washed etc).... (INo25-50, PgNo 234) (STATE SSR ) Item Spec: (Bd.F.6 Page No. 300 and B.7, Page No.38)</v>
      </c>
      <c r="C107" s="519">
        <f>Measurment!M52</f>
        <v>5.6938800000000001</v>
      </c>
      <c r="D107" s="523" t="str">
        <f>Measurment!N52</f>
        <v>C.um</v>
      </c>
      <c r="E107" s="522" t="s">
        <v>651</v>
      </c>
      <c r="F107" s="519">
        <v>9908</v>
      </c>
      <c r="G107" s="519">
        <f>F107*G94</f>
        <v>-792.64</v>
      </c>
      <c r="H107" s="519">
        <f>F52</f>
        <v>272.78625</v>
      </c>
      <c r="I107" s="519">
        <f>F53</f>
        <v>238.87549999999996</v>
      </c>
      <c r="J107" s="519"/>
      <c r="K107" s="519"/>
      <c r="L107" s="517">
        <f>SUM(F107:K107)</f>
        <v>9627.0217499999999</v>
      </c>
      <c r="M107" s="519">
        <f>L107*$M$94</f>
        <v>481.35108750000001</v>
      </c>
      <c r="N107" s="519">
        <f>ROUND(L107+M107,2)</f>
        <v>10108.370000000001</v>
      </c>
      <c r="O107" s="519">
        <f>ROUND(C107*N107,0)</f>
        <v>57556</v>
      </c>
    </row>
    <row r="108" spans="1:15" s="524" customFormat="1" ht="16.5" customHeight="1">
      <c r="A108" s="523"/>
      <c r="B108" s="523"/>
      <c r="C108" s="519"/>
      <c r="D108" s="523"/>
      <c r="E108" s="518"/>
      <c r="F108" s="519"/>
      <c r="G108" s="519"/>
      <c r="H108" s="519"/>
      <c r="I108" s="519"/>
      <c r="J108" s="519"/>
      <c r="K108" s="519"/>
      <c r="L108" s="519"/>
      <c r="M108" s="519"/>
      <c r="N108" s="519"/>
      <c r="O108" s="519"/>
    </row>
    <row r="109" spans="1:15" s="524" customFormat="1" ht="40.5" customHeight="1">
      <c r="A109" s="523">
        <v>7</v>
      </c>
      <c r="B109" s="530" t="str">
        <f>Measurment!B54</f>
        <v>ProvidingandlayingCastinsitu/ReadyMixcementconcreteM20 oftrap/granite/quartzite/gneissmetalfor R.C.C.slab sand landings as per detailed design sand drawings including steelc entering, formwork, coverblocks,laying/pumping, compaction finishing the formed surface swith Cement mortar 1:3 sufficient minimum thickness to give a smooth and even surface or roughening if special finishis to be provided and curing etc. complete, (Excluding reinforcement and structural steel). with fully automatic microprocessor based PLC with SCAD Aenable dreversible Drum Typemixer /concreteBatchmixplant (Panmixer)etc.complete. Withfineaggregate(NaturalSand/ Crushed sand VSI Grade finely washed etc)</v>
      </c>
      <c r="C109" s="519">
        <f>Measurment!M59</f>
        <v>15.057000000000002</v>
      </c>
      <c r="D109" s="523" t="s">
        <v>677</v>
      </c>
      <c r="E109" s="518" t="s">
        <v>686</v>
      </c>
      <c r="F109" s="519">
        <v>12037</v>
      </c>
      <c r="G109" s="519">
        <f>F109*G94</f>
        <v>-962.96</v>
      </c>
      <c r="H109" s="519">
        <f>F52</f>
        <v>272.78625</v>
      </c>
      <c r="I109" s="519">
        <f>F53</f>
        <v>238.87549999999996</v>
      </c>
      <c r="J109" s="519"/>
      <c r="K109" s="519"/>
      <c r="L109" s="517">
        <f>SUM(F109:K109)</f>
        <v>11585.70175</v>
      </c>
      <c r="M109" s="519">
        <f>L109*$M$94</f>
        <v>579.28508750000003</v>
      </c>
      <c r="N109" s="519">
        <f>ROUND(L109+M109,2)</f>
        <v>12164.99</v>
      </c>
      <c r="O109" s="519">
        <f>ROUND(C109*N109,0)</f>
        <v>183168</v>
      </c>
    </row>
    <row r="110" spans="1:15" s="524" customFormat="1" ht="16.5" customHeight="1">
      <c r="A110" s="523"/>
      <c r="B110" s="523"/>
      <c r="C110" s="519"/>
      <c r="D110" s="523"/>
      <c r="E110" s="518"/>
      <c r="F110" s="519"/>
      <c r="G110" s="519"/>
      <c r="H110" s="519"/>
      <c r="I110" s="519"/>
      <c r="J110" s="519"/>
      <c r="K110" s="519"/>
      <c r="L110" s="519"/>
      <c r="M110" s="519"/>
      <c r="N110" s="519"/>
      <c r="O110" s="519"/>
    </row>
    <row r="111" spans="1:15" s="524" customFormat="1" ht="39.75" customHeight="1">
      <c r="A111" s="523">
        <f>Measurment!A61</f>
        <v>8</v>
      </c>
      <c r="B111" s="530" t="str">
        <f>Measurment!B61</f>
        <v xml:space="preserve"> Providing and fixing in position TMT - FE - 500 bar reinforcement of various diameters for R.C.C. pile caps, footings, foundations, slabs, beams columns, canopies, staircase, newels, chajjas, linteis pardis, copings, fins, arches etc. as per detailed designs, drawings and schedules, including cutting, bending, hooking the bass, binding with wires or tack welding and supporting as required complete ..... (INo26-33, PgNo 245) (STATE SSR ) Item Spec: (Bd.F.17, Page No. 306)</v>
      </c>
      <c r="C111" s="519">
        <f>Measurment!M68</f>
        <v>6.18</v>
      </c>
      <c r="D111" s="523" t="str">
        <f>Measurment!N68</f>
        <v>MT</v>
      </c>
      <c r="E111" s="522" t="s">
        <v>652</v>
      </c>
      <c r="F111" s="519">
        <v>62581</v>
      </c>
      <c r="G111" s="519"/>
      <c r="H111" s="519"/>
      <c r="I111" s="519"/>
      <c r="J111" s="519"/>
      <c r="K111" s="519"/>
      <c r="L111" s="517">
        <f>SUM(F111:K111)</f>
        <v>62581</v>
      </c>
      <c r="M111" s="519">
        <f>L111*$M$94</f>
        <v>3129.05</v>
      </c>
      <c r="N111" s="519">
        <f>ROUND(L111+M111,2)</f>
        <v>65710.05</v>
      </c>
      <c r="O111" s="519">
        <f>ROUND(C111*N111,0)</f>
        <v>406088</v>
      </c>
    </row>
    <row r="112" spans="1:15" s="520" customFormat="1" ht="15.75" customHeight="1">
      <c r="A112" s="516"/>
      <c r="B112" s="516"/>
      <c r="C112" s="517"/>
      <c r="D112" s="516"/>
      <c r="E112" s="518"/>
      <c r="F112" s="519"/>
      <c r="G112" s="519"/>
      <c r="H112" s="519"/>
      <c r="I112" s="519"/>
      <c r="J112" s="519"/>
      <c r="K112" s="519"/>
      <c r="L112" s="517"/>
      <c r="M112" s="517"/>
      <c r="N112" s="517"/>
      <c r="O112" s="517"/>
    </row>
    <row r="113" spans="1:15" s="521" customFormat="1" ht="39.75" customHeight="1">
      <c r="A113" s="516">
        <f>Measurment!A70</f>
        <v>9</v>
      </c>
      <c r="B113" s="530" t="str">
        <f>Measurment!B70</f>
        <v>Providing second class Burnt Brick masonry with conventional/ I.S. type bricks in cement mortar 1:6 in foundations and plinth of inner walls/ in plinth external walls including bailing out water manually , striking joints on unexposed faces, raking out joints on exposed faces and watering etc. Complete.</v>
      </c>
      <c r="C113" s="517">
        <f>Measurment!M75</f>
        <v>8</v>
      </c>
      <c r="D113" s="517" t="str">
        <f>Measurment!N75</f>
        <v>Cum</v>
      </c>
      <c r="E113" s="522" t="s">
        <v>656</v>
      </c>
      <c r="F113" s="519">
        <v>5820</v>
      </c>
      <c r="G113" s="519"/>
      <c r="H113" s="519"/>
      <c r="I113" s="519" t="s">
        <v>53</v>
      </c>
      <c r="J113" s="519" t="s">
        <v>53</v>
      </c>
      <c r="K113" s="519"/>
      <c r="L113" s="517">
        <f>SUM(F113:K113)</f>
        <v>5820</v>
      </c>
      <c r="M113" s="517">
        <f>L113*$M$94</f>
        <v>291</v>
      </c>
      <c r="N113" s="517">
        <f>ROUND(L113+M113,2)</f>
        <v>6111</v>
      </c>
      <c r="O113" s="517">
        <f>ROUND(C113*N113,0)</f>
        <v>48888</v>
      </c>
    </row>
    <row r="114" spans="1:15" s="521" customFormat="1" ht="15.75" customHeight="1">
      <c r="A114" s="516"/>
      <c r="B114" s="516"/>
      <c r="C114" s="517"/>
      <c r="D114" s="517"/>
      <c r="E114" s="522"/>
      <c r="F114" s="519"/>
      <c r="G114" s="519"/>
      <c r="H114" s="519"/>
      <c r="I114" s="519"/>
      <c r="J114" s="519"/>
      <c r="K114" s="519"/>
      <c r="L114" s="517"/>
      <c r="M114" s="517"/>
      <c r="N114" s="517"/>
      <c r="O114" s="517"/>
    </row>
    <row r="115" spans="1:15" s="521" customFormat="1" ht="45.75" customHeight="1">
      <c r="A115" s="516">
        <v>10</v>
      </c>
      <c r="B115" s="530" t="str">
        <f>Measurment!B76</f>
        <v>Providing second class Burnt Brick masonry with conventional/ I.S. type bricks in cement mortar 1:6 in superstructure including striking joints, raking out joints, watering and scaffolding etc. Complete</v>
      </c>
      <c r="C115" s="517">
        <f>Measurment!M87</f>
        <v>24</v>
      </c>
      <c r="D115" s="517" t="s">
        <v>677</v>
      </c>
      <c r="E115" s="522" t="s">
        <v>687</v>
      </c>
      <c r="F115" s="519">
        <v>6004</v>
      </c>
      <c r="G115" s="519"/>
      <c r="H115" s="519"/>
      <c r="I115" s="519"/>
      <c r="J115" s="519"/>
      <c r="K115" s="519"/>
      <c r="L115" s="517">
        <f t="shared" ref="L115" si="3">SUM(F115:K115)</f>
        <v>6004</v>
      </c>
      <c r="M115" s="517">
        <f t="shared" ref="M115" si="4">L115*$M$94</f>
        <v>300.2</v>
      </c>
      <c r="N115" s="517">
        <f t="shared" ref="N115" si="5">ROUND(L115+M115,2)</f>
        <v>6304.2</v>
      </c>
      <c r="O115" s="517">
        <f t="shared" ref="O115" si="6">ROUND(C115*N115,0)</f>
        <v>151301</v>
      </c>
    </row>
    <row r="116" spans="1:15" s="521" customFormat="1" ht="15.75" customHeight="1">
      <c r="A116" s="516"/>
      <c r="B116" s="516"/>
      <c r="C116" s="517"/>
      <c r="D116" s="517"/>
      <c r="E116" s="522"/>
      <c r="F116" s="519"/>
      <c r="G116" s="519"/>
      <c r="H116" s="519"/>
      <c r="I116" s="519"/>
      <c r="J116" s="519"/>
      <c r="K116" s="519"/>
      <c r="L116" s="517"/>
      <c r="M116" s="517"/>
      <c r="N116" s="517"/>
      <c r="O116" s="517"/>
    </row>
    <row r="117" spans="1:15" s="521" customFormat="1" ht="39.75" customHeight="1">
      <c r="A117" s="516">
        <f>Measurment!A89</f>
        <v>11</v>
      </c>
      <c r="B117" s="530" t="str">
        <f>Measurment!B89</f>
        <v xml:space="preserve"> Filling in plinth and floors with contractors material/brought from outside and approved by Engineer incharge in layers of 15cm, to 20cm, including watering and compaction etc. complete.....(IN021-37, PgNo 201) (STATE SSR ) Item Spec. (Bd. A.11 Page No. 283)</v>
      </c>
      <c r="C117" s="517">
        <f>Measurment!M94</f>
        <v>57.49199999999999</v>
      </c>
      <c r="D117" s="516" t="str">
        <f>Measurment!N94</f>
        <v>C.um</v>
      </c>
      <c r="E117" s="517" t="s">
        <v>655</v>
      </c>
      <c r="F117" s="517">
        <v>440</v>
      </c>
      <c r="G117" s="519"/>
      <c r="H117" s="519"/>
      <c r="I117" s="519"/>
      <c r="J117" s="519"/>
      <c r="K117" s="519"/>
      <c r="L117" s="517">
        <f>SUM(F117:K117)</f>
        <v>440</v>
      </c>
      <c r="M117" s="517">
        <f>L117*$M$94</f>
        <v>22</v>
      </c>
      <c r="N117" s="517">
        <f>ROUND(L117+M117,2)</f>
        <v>462</v>
      </c>
      <c r="O117" s="517">
        <f>ROUND(C117*N117,0)</f>
        <v>26561</v>
      </c>
    </row>
    <row r="118" spans="1:15" s="521" customFormat="1" ht="13.5" customHeight="1">
      <c r="A118" s="516"/>
      <c r="B118" s="516"/>
      <c r="C118" s="517"/>
      <c r="D118" s="516"/>
      <c r="E118" s="518"/>
      <c r="F118" s="519"/>
      <c r="G118" s="519"/>
      <c r="H118" s="519"/>
      <c r="I118" s="519"/>
      <c r="J118" s="519"/>
      <c r="K118" s="519"/>
      <c r="L118" s="517"/>
      <c r="M118" s="517"/>
      <c r="N118" s="517"/>
      <c r="O118" s="517"/>
    </row>
    <row r="119" spans="1:15" s="521" customFormat="1" ht="39.75" customHeight="1">
      <c r="A119" s="516">
        <f>Measurment!A96</f>
        <v>12</v>
      </c>
      <c r="B119" s="530" t="str">
        <f>Measurment!B96</f>
        <v>Providing soling using 80 mm size trap metal in 15 cm. layer including filling voids with Crushed sand/grit, ramming, watering etc. Complete</v>
      </c>
      <c r="C119" s="517">
        <f>Measurment!M101</f>
        <v>17</v>
      </c>
      <c r="D119" s="517" t="s">
        <v>677</v>
      </c>
      <c r="E119" s="518" t="s">
        <v>654</v>
      </c>
      <c r="F119" s="519">
        <v>1055</v>
      </c>
      <c r="G119" s="519"/>
      <c r="H119" s="519"/>
      <c r="I119" s="519"/>
      <c r="J119" s="519"/>
      <c r="K119" s="519"/>
      <c r="L119" s="517">
        <f>SUM(F119:K119)</f>
        <v>1055</v>
      </c>
      <c r="M119" s="517">
        <f>L119*$M$94</f>
        <v>52.75</v>
      </c>
      <c r="N119" s="517">
        <f>ROUND(L119+M119,2)</f>
        <v>1107.75</v>
      </c>
      <c r="O119" s="517">
        <f>ROUND(C119*N119,0)</f>
        <v>18832</v>
      </c>
    </row>
    <row r="120" spans="1:15" s="521" customFormat="1" ht="12" customHeight="1">
      <c r="A120" s="516"/>
      <c r="B120" s="516"/>
      <c r="C120" s="517"/>
      <c r="D120" s="516"/>
      <c r="E120" s="518"/>
      <c r="F120" s="519"/>
      <c r="G120" s="519"/>
      <c r="H120" s="519"/>
      <c r="I120" s="519"/>
      <c r="J120" s="519"/>
      <c r="K120" s="519"/>
      <c r="L120" s="517"/>
      <c r="M120" s="517"/>
      <c r="N120" s="517"/>
      <c r="O120" s="517"/>
    </row>
    <row r="121" spans="1:15" s="521" customFormat="1" ht="39.75" customHeight="1">
      <c r="A121" s="516">
        <f>Measurment!A103</f>
        <v>13</v>
      </c>
      <c r="B121" s="530" t="str">
        <f>Measurment!B103</f>
        <v xml:space="preserve"> Providing internal cement plaster 12mm thick in single coat in cement mortar 1:4 without neeru finish to concrete or brick surfaces, in all positions including scaffolding and curing etc. complete....(INo32-04. PgNo 268) ( STATE SSR ) Item Spec: (Bd. L.2 Page No. 368)</v>
      </c>
      <c r="C121" s="517">
        <f>Measurment!M114</f>
        <v>132</v>
      </c>
      <c r="D121" s="517" t="str">
        <f>Measurment!N114</f>
        <v>Sqm</v>
      </c>
      <c r="E121" s="522" t="s">
        <v>658</v>
      </c>
      <c r="F121" s="519">
        <v>234</v>
      </c>
      <c r="G121" s="519"/>
      <c r="H121" s="519"/>
      <c r="I121" s="519"/>
      <c r="J121" s="519"/>
      <c r="K121" s="519"/>
      <c r="L121" s="517">
        <f>SUM(F121:K121)</f>
        <v>234</v>
      </c>
      <c r="M121" s="517">
        <f>L121*$M$94</f>
        <v>11.700000000000001</v>
      </c>
      <c r="N121" s="517">
        <f>ROUND(L121+M121,2)</f>
        <v>245.7</v>
      </c>
      <c r="O121" s="517">
        <f>ROUND(C121*N121,0)</f>
        <v>32432</v>
      </c>
    </row>
    <row r="122" spans="1:15" s="521" customFormat="1" ht="15" customHeight="1">
      <c r="A122" s="516"/>
      <c r="B122" s="530"/>
      <c r="C122" s="517"/>
      <c r="D122" s="517"/>
      <c r="E122" s="522"/>
      <c r="F122" s="519"/>
      <c r="G122" s="519"/>
      <c r="H122" s="519"/>
      <c r="I122" s="519"/>
      <c r="J122" s="519"/>
      <c r="K122" s="519"/>
      <c r="L122" s="517"/>
      <c r="M122" s="517"/>
      <c r="N122" s="517"/>
      <c r="O122" s="517"/>
    </row>
    <row r="123" spans="1:15" s="521" customFormat="1" ht="39.75" customHeight="1">
      <c r="A123" s="516">
        <f>Measurment!A116</f>
        <v>14</v>
      </c>
      <c r="B123" s="530" t="str">
        <f>Measurment!B116</f>
        <v xml:space="preserve"> Providing sand faced plaster externally in cement mortar using approved screened sand, in all positions including base coat of 15 mm thick in cement mortar 1:4 using waterproofing compound at 1 kg per cement bag curing the same for not less than 2 days and keeping the surface of the base coat rough to receive the sand faced treatment 6 to 8 mm thick in cement mortar 1:4 finishing the surface by taking out grains and curing for fourteen days scaffolding etc.complete.....(INo32-11, PgNo 269) ( STATE SSR ) Item Spec: (Bd.L.7 Page No. 369)</v>
      </c>
      <c r="C123" s="517">
        <f>Measurment!M125</f>
        <v>193</v>
      </c>
      <c r="D123" s="517" t="str">
        <f>Measurment!N125</f>
        <v>SqM</v>
      </c>
      <c r="E123" s="522" t="s">
        <v>659</v>
      </c>
      <c r="F123" s="519">
        <v>679</v>
      </c>
      <c r="G123" s="519"/>
      <c r="H123" s="519"/>
      <c r="I123" s="519"/>
      <c r="J123" s="519"/>
      <c r="K123" s="519"/>
      <c r="L123" s="517">
        <f>SUM(F123:K123)</f>
        <v>679</v>
      </c>
      <c r="M123" s="517">
        <f>L123*$M$94</f>
        <v>33.950000000000003</v>
      </c>
      <c r="N123" s="517">
        <f>ROUND(L123+M123,2)</f>
        <v>712.95</v>
      </c>
      <c r="O123" s="517">
        <f>ROUND(C123*N123,0)</f>
        <v>137599</v>
      </c>
    </row>
    <row r="124" spans="1:15" s="521" customFormat="1" ht="10.5" customHeight="1">
      <c r="A124" s="516"/>
      <c r="B124" s="516"/>
      <c r="C124" s="517"/>
      <c r="D124" s="517"/>
      <c r="E124" s="522"/>
      <c r="F124" s="519"/>
      <c r="G124" s="519"/>
      <c r="H124" s="519"/>
      <c r="I124" s="519"/>
      <c r="J124" s="519"/>
      <c r="K124" s="519"/>
      <c r="L124" s="517"/>
      <c r="M124" s="517"/>
      <c r="N124" s="517"/>
      <c r="O124" s="517"/>
    </row>
    <row r="125" spans="1:15" s="521" customFormat="1" ht="39.75" customHeight="1">
      <c r="A125" s="516">
        <f>Measurment!A127</f>
        <v>15</v>
      </c>
      <c r="B125" s="530" t="str">
        <f>Measurment!B127</f>
        <v xml:space="preserve"> Providing &amp; applying washable oil-bound distemper of approved colour and shade to old &amp; new surfaces in two coats including scaffolding, preparing the surfaces. (excluding the primer coat.) etc. complete.....(INo36-11, PgNo 291) (STATE SSR ) Item Spec: (Bd.P.5 Page No. 413</v>
      </c>
      <c r="C125" s="517">
        <f>Measurment!M131</f>
        <v>132</v>
      </c>
      <c r="D125" s="517" t="str">
        <f>Measurment!N131</f>
        <v>SqM</v>
      </c>
      <c r="E125" s="522" t="s">
        <v>660</v>
      </c>
      <c r="F125" s="519">
        <v>39.5</v>
      </c>
      <c r="G125" s="519"/>
      <c r="H125" s="519"/>
      <c r="I125" s="519"/>
      <c r="J125" s="519"/>
      <c r="K125" s="519"/>
      <c r="L125" s="517">
        <f>SUM(F125:K125)</f>
        <v>39.5</v>
      </c>
      <c r="M125" s="517">
        <f>L125*$M$94</f>
        <v>1.9750000000000001</v>
      </c>
      <c r="N125" s="517">
        <f>ROUND(L125+M125,2)</f>
        <v>41.48</v>
      </c>
      <c r="O125" s="517">
        <f>ROUND(C125*N125,0)</f>
        <v>5475</v>
      </c>
    </row>
    <row r="126" spans="1:15" s="521" customFormat="1" ht="15.75" customHeight="1">
      <c r="A126" s="516"/>
      <c r="B126" s="516"/>
      <c r="C126" s="517"/>
      <c r="D126" s="517"/>
      <c r="E126" s="522"/>
      <c r="F126" s="519"/>
      <c r="G126" s="519"/>
      <c r="H126" s="519"/>
      <c r="I126" s="519"/>
      <c r="J126" s="519"/>
      <c r="K126" s="519"/>
      <c r="L126" s="517"/>
      <c r="M126" s="517"/>
      <c r="N126" s="517"/>
      <c r="O126" s="517"/>
    </row>
    <row r="127" spans="1:15" s="521" customFormat="1" ht="39.75" customHeight="1">
      <c r="A127" s="516">
        <f>Measurment!A133</f>
        <v>16</v>
      </c>
      <c r="B127" s="530" t="str">
        <f>Measurment!B133</f>
        <v xml:space="preserve"> Providing and applying two coats of enterior stayic emulsion paint confirming to corresponding 1S. of approved manufacture and of approved colour to the plastered surfaces including cleaning preparing the plaster surface, applying primer coat ,scaffolding if necessary, and watering the surface for two days etc complete.....(IN035-25, PgNo 288) (STATE SSR) Hem Spec: (As directed by Engineer in charge.)</v>
      </c>
      <c r="C127" s="517">
        <f>Measurment!M138</f>
        <v>193</v>
      </c>
      <c r="D127" s="517" t="str">
        <f>Measurment!N138</f>
        <v>SQM</v>
      </c>
      <c r="E127" s="522" t="s">
        <v>661</v>
      </c>
      <c r="F127" s="519">
        <v>215</v>
      </c>
      <c r="G127" s="519"/>
      <c r="H127" s="519"/>
      <c r="I127" s="519"/>
      <c r="J127" s="519"/>
      <c r="K127" s="519"/>
      <c r="L127" s="517">
        <f>SUM(F127:K127)</f>
        <v>215</v>
      </c>
      <c r="M127" s="517">
        <f>L127*$M$94</f>
        <v>10.75</v>
      </c>
      <c r="N127" s="517">
        <f>ROUND(L127+M127,2)</f>
        <v>225.75</v>
      </c>
      <c r="O127" s="517">
        <f>ROUND(C127*N127,0)</f>
        <v>43570</v>
      </c>
    </row>
    <row r="128" spans="1:15" s="529" customFormat="1" ht="11.25" customHeight="1">
      <c r="A128" s="523"/>
      <c r="B128" s="523"/>
      <c r="C128" s="519"/>
      <c r="D128" s="519"/>
      <c r="E128" s="522"/>
      <c r="F128" s="519"/>
      <c r="G128" s="519"/>
      <c r="H128" s="519"/>
      <c r="I128" s="519"/>
      <c r="J128" s="519"/>
      <c r="K128" s="519"/>
      <c r="L128" s="519"/>
      <c r="M128" s="519"/>
      <c r="N128" s="519"/>
      <c r="O128" s="519"/>
    </row>
    <row r="129" spans="1:15" s="526" customFormat="1" ht="39.75" customHeight="1">
      <c r="A129" s="487">
        <f>Measurment!A140</f>
        <v>17</v>
      </c>
      <c r="B129" s="530" t="str">
        <f>Measurment!B140</f>
        <v>Providing and fabricating structural steel work in rolled sections like joists, channels, angles, tees etc. as per detailed design and drawings or as directed including cutting, fabricating, hoisting, erecting, fixing in position making riveted / bolted /welded connections without connecting plates, braces etc. and including one coat of anticorrosive paint and over it two coats of oil painting of approved quality and
shade etc. complete.</v>
      </c>
      <c r="C129" s="517">
        <f>Measurment!M146</f>
        <v>0</v>
      </c>
      <c r="D129" s="517" t="str">
        <f>Measurment!N146</f>
        <v>M.T</v>
      </c>
      <c r="E129" s="522" t="s">
        <v>653</v>
      </c>
      <c r="F129" s="519">
        <v>73844</v>
      </c>
      <c r="G129" s="525"/>
      <c r="H129" s="525"/>
      <c r="I129" s="525"/>
      <c r="J129" s="525"/>
      <c r="K129" s="525"/>
      <c r="L129" s="517">
        <f>SUM(F129:K129)</f>
        <v>73844</v>
      </c>
      <c r="M129" s="517">
        <f>L129*$M$94</f>
        <v>3692.2000000000003</v>
      </c>
      <c r="N129" s="517">
        <f>ROUND(L129+M129,2)</f>
        <v>77536.2</v>
      </c>
      <c r="O129" s="517">
        <f>ROUND(C129*N129,0)</f>
        <v>0</v>
      </c>
    </row>
    <row r="130" spans="1:15" s="521" customFormat="1" ht="10.5" customHeight="1">
      <c r="A130" s="516"/>
      <c r="B130" s="516"/>
      <c r="C130" s="517"/>
      <c r="D130" s="517"/>
      <c r="E130" s="522"/>
      <c r="F130" s="519"/>
      <c r="G130" s="519"/>
      <c r="H130" s="519"/>
      <c r="I130" s="519"/>
      <c r="J130" s="519"/>
      <c r="K130" s="519"/>
      <c r="L130" s="517"/>
      <c r="M130" s="517"/>
      <c r="N130" s="517"/>
      <c r="O130" s="517"/>
    </row>
    <row r="131" spans="1:15" s="526" customFormat="1" ht="60" customHeight="1">
      <c r="A131" s="527">
        <f>Measurment!A148</f>
        <v>18</v>
      </c>
      <c r="B131" s="530" t="str">
        <f>Measurment!B148</f>
        <v xml:space="preserve"> Providing and fixing colour coated Zincalume (R) AZ150 ( min 150 gms/sq.mt. Total on each side ) profiled sheets for roofing. The feed material is manufactured out of nominal 0.45 mm Base Metal Thickness (BMT) (0.5 mm TCT), Hi-strength steel with min.550 Mpa yield strength, metallic hot dip coated with Aluminium-Zinc alloy (55% aluminium 43.4% zinc 1.6% silicon) váth COLORBOND (R) steel quality with thickness of nominal 35 um, comprising of nominal 25 um exterior coat on top surface and nominal 10  coat on back surface. Profile sheet shall have nom. 950-1050 mm width and nominal 25-30 mm deep ribs with subtle square fluting in shall be designed for anti-capillary groove. &amp; return leg. The feed material should have coil manufacturers product details marked a regular interval. Including fasteners with min. Fastened with min. 25 um Zinc-Tin alloy coated, Hex head, self-drilling screw etc. Complete. (weight of profile 4.52 kg/sqm)....(IN038-34 , PgNo 302) ( STATE SSR) Item Spec: (As directed by Engineer in charge.)</v>
      </c>
      <c r="C131" s="517">
        <f>Measurment!M153</f>
        <v>0</v>
      </c>
      <c r="D131" s="517" t="str">
        <f>Measurment!N153</f>
        <v>SQM</v>
      </c>
      <c r="E131" s="522" t="s">
        <v>662</v>
      </c>
      <c r="F131" s="519">
        <v>978</v>
      </c>
      <c r="G131" s="519"/>
      <c r="H131" s="519"/>
      <c r="I131" s="519"/>
      <c r="J131" s="519"/>
      <c r="K131" s="519"/>
      <c r="L131" s="517">
        <f>SUM(F131:K131)</f>
        <v>978</v>
      </c>
      <c r="M131" s="517">
        <f>L131*$M$94</f>
        <v>48.900000000000006</v>
      </c>
      <c r="N131" s="517">
        <f>ROUND(L131+M131,2)</f>
        <v>1026.9000000000001</v>
      </c>
      <c r="O131" s="517">
        <f>ROUND(C131*N131,0)</f>
        <v>0</v>
      </c>
    </row>
    <row r="132" spans="1:15" s="521" customFormat="1" ht="15.75" customHeight="1">
      <c r="A132" s="516"/>
      <c r="B132" s="516"/>
      <c r="C132" s="517"/>
      <c r="D132" s="517"/>
      <c r="E132" s="522"/>
      <c r="F132" s="519"/>
      <c r="G132" s="519"/>
      <c r="H132" s="519"/>
      <c r="I132" s="519"/>
      <c r="J132" s="519"/>
      <c r="K132" s="519"/>
      <c r="L132" s="517"/>
      <c r="M132" s="517"/>
      <c r="N132" s="517"/>
      <c r="O132" s="517"/>
    </row>
    <row r="133" spans="1:15" s="521" customFormat="1" ht="37.5" customHeight="1">
      <c r="A133" s="516">
        <f>Measurment!A155</f>
        <v>19</v>
      </c>
      <c r="B133" s="530" t="str">
        <f>Measurment!B155</f>
        <v xml:space="preserve"> Providing and fixing of colour coated Zincaluminium R) AZ150 ( min 150 gms/sq.mt. Total on each side ) profiled sheets for roofing. The feed material is manufactured out of nominal 0.45 mm Base Metal Thickness (BMT) (0.5 mm TCT), Hi-strength steel with min.550 Mpa yield strength, metallic hot dip coated with Aluminium-Zinc alloy (55% aluminiumm 43.4% zinc 1.6% silicon) with COLORBOND (R) steel quality super durable polyster paint coat (with inorganic pigment). The paint shall have a total coating thickness of nominal 35 mm, comprising of nominal 25mmexterior coat on top surface and nominal 10 um reverse coat on back surface. Profile sheet shall have nom. 950-1050 mm effective cover width and nominal 25-30 mm deep ribs with sublet square fluting in the five pan at nominal 180-250 mmcenter-to-center. The end rib shall be designed for anti-capacity groove. &amp; return leg. The feed material should have coil manufacturers product details marked a regular interval. Including fasteners with min. Fastened with min. 25 um Zinc-Tin alloy coated, Hex head, self-drilling screw etc. Complete. (weight of profile 4.52 kg/sqm) 301 mm to 600 mm girth (Surface Width).....(INo38-35 PgNo 303) (STATE SSR ) Item Spec: (As directed by Engineer in charge.)</v>
      </c>
      <c r="C133" s="517">
        <f>Measurment!M159</f>
        <v>0</v>
      </c>
      <c r="D133" s="517" t="str">
        <f>Measurment!N159</f>
        <v>RMTS</v>
      </c>
      <c r="E133" s="522" t="s">
        <v>663</v>
      </c>
      <c r="F133" s="519">
        <v>625</v>
      </c>
      <c r="G133" s="519"/>
      <c r="H133" s="519"/>
      <c r="I133" s="519"/>
      <c r="J133" s="519"/>
      <c r="K133" s="519"/>
      <c r="L133" s="517">
        <f>SUM(F133:K133)</f>
        <v>625</v>
      </c>
      <c r="M133" s="517">
        <f>L133*$M$94</f>
        <v>31.25</v>
      </c>
      <c r="N133" s="517">
        <f>ROUND(L133+M133,2)</f>
        <v>656.25</v>
      </c>
      <c r="O133" s="517">
        <f>ROUND(C133*N133,0)</f>
        <v>0</v>
      </c>
    </row>
    <row r="134" spans="1:15" s="521" customFormat="1" ht="12" customHeight="1">
      <c r="A134" s="516"/>
      <c r="B134" s="516"/>
      <c r="C134" s="517"/>
      <c r="D134" s="517"/>
      <c r="E134" s="522"/>
      <c r="F134" s="519"/>
      <c r="G134" s="519"/>
      <c r="H134" s="519"/>
      <c r="I134" s="519"/>
      <c r="J134" s="519"/>
      <c r="K134" s="519"/>
      <c r="L134" s="517"/>
      <c r="M134" s="517"/>
      <c r="N134" s="517"/>
      <c r="O134" s="517"/>
    </row>
    <row r="135" spans="1:15" s="521" customFormat="1" ht="39.75" customHeight="1">
      <c r="A135" s="516">
        <f>Measurment!A161</f>
        <v>20</v>
      </c>
      <c r="B135" s="530" t="str">
        <f>Measurment!B161</f>
        <v xml:space="preserve"> Providing and fixing rolling shutter fabricated from steel laths of minimum thickness 0.9 mm with lock plate of 3.15 mm thickness reinforced with 35 x 35 x 5 mm angie section fitted with Sliding bolts and handles for both sides, deep M. S. channel section of respectively with hold fast arrangements, M.S. Bracket plate 300 x 300 x 3.15 mm minimum size and shape with square bar, suspension shaft of minimum 32 mm diameter, hood cover of M.S. sheet not less than 0.9 mm thickness and of any size at top and safety devices including mechanical gear operation arrangement consisting of worm gear wheels and worms of high grade cast iron or mild steel and one coat of red lead primer etc. complete. (I.S. 6248-1979) (Without mechanical gear)....(INo39-24 , PgNo 318) ( STATE SSR) Item Spec: (Bd.T.55, Page No. 510)</v>
      </c>
      <c r="C135" s="517">
        <f>Measurment!M165</f>
        <v>14.399999999999999</v>
      </c>
      <c r="D135" s="517" t="str">
        <f>Measurment!N165</f>
        <v>SqM</v>
      </c>
      <c r="E135" s="522" t="s">
        <v>657</v>
      </c>
      <c r="F135" s="519">
        <v>3796</v>
      </c>
      <c r="G135" s="519"/>
      <c r="H135" s="519"/>
      <c r="I135" s="519"/>
      <c r="J135" s="519"/>
      <c r="K135" s="519"/>
      <c r="L135" s="517">
        <f>SUM(F135:K135)</f>
        <v>3796</v>
      </c>
      <c r="M135" s="517">
        <f>L135*$M$94</f>
        <v>189.8</v>
      </c>
      <c r="N135" s="517">
        <f>ROUND(L135+M135,2)</f>
        <v>3985.8</v>
      </c>
      <c r="O135" s="517">
        <f>ROUND(C135*N135,0)</f>
        <v>57396</v>
      </c>
    </row>
    <row r="136" spans="1:15" s="521" customFormat="1">
      <c r="A136" s="516"/>
      <c r="B136" s="530"/>
      <c r="C136" s="517"/>
      <c r="D136" s="517"/>
      <c r="E136" s="522"/>
      <c r="F136" s="519"/>
      <c r="G136" s="519"/>
      <c r="H136" s="519"/>
      <c r="I136" s="519"/>
      <c r="J136" s="519"/>
      <c r="K136" s="519"/>
      <c r="L136" s="517"/>
      <c r="M136" s="517"/>
      <c r="N136" s="517"/>
      <c r="O136" s="517"/>
    </row>
    <row r="137" spans="1:15" s="521" customFormat="1" ht="39.75" customHeight="1">
      <c r="A137" s="516">
        <v>21</v>
      </c>
      <c r="B137" s="530" t="str">
        <f>Measurment!B167</f>
        <v>Providing and fixing solid core flush door shutter in single leaf 32 mm thick decorative type of exterior grade as per detailed drawings approved face veneers 3 mm thick on both faces or as directed, all necessary beads, mouldings and lipping, wrought iron hold fasts, chromium plated fixtures and fastenings, with brass mortise lock, chromium plated handles on both sides, and finishing with French Polish etc. complete.</v>
      </c>
      <c r="C137" s="517">
        <f>Measurment!M171</f>
        <v>0</v>
      </c>
      <c r="D137" s="517" t="s">
        <v>634</v>
      </c>
      <c r="E137" s="522" t="s">
        <v>688</v>
      </c>
      <c r="F137" s="519">
        <v>2494</v>
      </c>
      <c r="G137" s="519"/>
      <c r="H137" s="519"/>
      <c r="I137" s="519"/>
      <c r="J137" s="519"/>
      <c r="K137" s="519"/>
      <c r="L137" s="517">
        <f t="shared" ref="L137:L141" si="7">SUM(F137:K137)</f>
        <v>2494</v>
      </c>
      <c r="M137" s="517">
        <f t="shared" ref="M137:M141" si="8">L137*$M$94</f>
        <v>124.7</v>
      </c>
      <c r="N137" s="517">
        <f t="shared" ref="N137:N141" si="9">ROUND(L137+M137,2)</f>
        <v>2618.6999999999998</v>
      </c>
      <c r="O137" s="517">
        <f t="shared" ref="O137:O141" si="10">ROUND(C137*N137,0)</f>
        <v>0</v>
      </c>
    </row>
    <row r="138" spans="1:15" s="521" customFormat="1">
      <c r="A138" s="516"/>
      <c r="B138" s="530"/>
      <c r="C138" s="517"/>
      <c r="D138" s="517"/>
      <c r="E138" s="522"/>
      <c r="F138" s="519"/>
      <c r="G138" s="519"/>
      <c r="H138" s="519"/>
      <c r="I138" s="519"/>
      <c r="J138" s="519"/>
      <c r="K138" s="519"/>
      <c r="L138" s="517"/>
      <c r="M138" s="517"/>
      <c r="N138" s="517"/>
      <c r="O138" s="517"/>
    </row>
    <row r="139" spans="1:15" s="521" customFormat="1" ht="36.75" customHeight="1">
      <c r="A139" s="516">
        <v>22</v>
      </c>
      <c r="B139" s="530" t="str">
        <f>Measurment!B172</f>
        <v>Providing and laying Rough Shahabad Stone Flooring 40mm.to 45 mm. thick and of required width in plain/ diamond pattern on a bed of 1:6 C.M. including cement float, striking joints, pointing in cement mortar 1:3 curing and cleaning etc. etc. complete</v>
      </c>
      <c r="C139" s="517">
        <f>Measurment!M176</f>
        <v>131.32999999999998</v>
      </c>
      <c r="D139" s="517" t="s">
        <v>634</v>
      </c>
      <c r="E139" s="522" t="s">
        <v>689</v>
      </c>
      <c r="F139" s="519">
        <v>671</v>
      </c>
      <c r="G139" s="519"/>
      <c r="H139" s="519"/>
      <c r="I139" s="519"/>
      <c r="J139" s="519"/>
      <c r="K139" s="519"/>
      <c r="L139" s="517">
        <f t="shared" si="7"/>
        <v>671</v>
      </c>
      <c r="M139" s="517">
        <f t="shared" si="8"/>
        <v>33.550000000000004</v>
      </c>
      <c r="N139" s="517">
        <f t="shared" si="9"/>
        <v>704.55</v>
      </c>
      <c r="O139" s="517">
        <f t="shared" si="10"/>
        <v>92529</v>
      </c>
    </row>
    <row r="140" spans="1:15" s="521" customFormat="1">
      <c r="A140" s="516"/>
      <c r="B140" s="530"/>
      <c r="C140" s="517"/>
      <c r="D140" s="517"/>
      <c r="E140" s="522"/>
      <c r="F140" s="519"/>
      <c r="G140" s="519"/>
      <c r="H140" s="519"/>
      <c r="I140" s="519"/>
      <c r="J140" s="519"/>
      <c r="K140" s="519"/>
      <c r="L140" s="517"/>
      <c r="M140" s="517"/>
      <c r="N140" s="517"/>
      <c r="O140" s="517"/>
    </row>
    <row r="141" spans="1:15" s="521" customFormat="1" ht="37.5" customHeight="1">
      <c r="A141" s="516">
        <v>23</v>
      </c>
      <c r="B141" s="530" t="str">
        <f>Measurment!B178</f>
        <v>Providing and fixing steel window of various sizes as per detailed drawing without hot dip zinc coating, without ventilators, including fabricating / glazing with plain / obscured glass panels of approved type and quality, iron oxidised fixtures and fastenings, finishing with oil painting two coats complete (with guard bars 12 mm square at 10 cm c/c.)</v>
      </c>
      <c r="C141" s="517">
        <f>Measurment!M182</f>
        <v>0</v>
      </c>
      <c r="D141" s="517" t="s">
        <v>634</v>
      </c>
      <c r="E141" s="522" t="s">
        <v>690</v>
      </c>
      <c r="F141" s="519">
        <v>3551</v>
      </c>
      <c r="G141" s="519"/>
      <c r="H141" s="519"/>
      <c r="I141" s="519"/>
      <c r="J141" s="519"/>
      <c r="K141" s="519"/>
      <c r="L141" s="517">
        <f t="shared" si="7"/>
        <v>3551</v>
      </c>
      <c r="M141" s="517">
        <f t="shared" si="8"/>
        <v>177.55</v>
      </c>
      <c r="N141" s="517">
        <f t="shared" si="9"/>
        <v>3728.55</v>
      </c>
      <c r="O141" s="517">
        <f t="shared" si="10"/>
        <v>0</v>
      </c>
    </row>
    <row r="142" spans="1:15" s="521" customFormat="1">
      <c r="A142" s="516"/>
      <c r="B142" s="530"/>
      <c r="C142" s="517"/>
      <c r="D142" s="517"/>
      <c r="E142" s="522"/>
      <c r="F142" s="519"/>
      <c r="G142" s="519"/>
      <c r="H142" s="519"/>
      <c r="I142" s="519"/>
      <c r="J142" s="519"/>
      <c r="K142" s="519"/>
      <c r="L142" s="517"/>
      <c r="M142" s="517"/>
      <c r="N142" s="517"/>
      <c r="O142" s="517"/>
    </row>
    <row r="143" spans="1:15" s="421" customFormat="1" ht="24.75" customHeight="1" thickBot="1">
      <c r="A143" s="459"/>
      <c r="B143" s="460"/>
      <c r="C143" s="461"/>
      <c r="D143" s="459"/>
      <c r="E143" s="462"/>
      <c r="F143" s="463"/>
      <c r="G143" s="464"/>
      <c r="H143" s="464"/>
      <c r="I143" s="464"/>
      <c r="J143" s="464"/>
      <c r="K143" s="464"/>
      <c r="L143" s="461"/>
      <c r="M143" s="461"/>
      <c r="N143" s="465"/>
      <c r="O143" s="466"/>
    </row>
    <row r="144" spans="1:15" ht="32.25" customHeight="1" thickTop="1">
      <c r="A144" s="455"/>
      <c r="B144" s="467"/>
      <c r="C144" s="455"/>
      <c r="D144" s="455"/>
      <c r="E144" s="468"/>
      <c r="F144" s="469"/>
      <c r="G144" s="470"/>
      <c r="H144" s="470"/>
      <c r="I144" s="470"/>
      <c r="J144" s="470"/>
      <c r="K144" s="470"/>
      <c r="L144" s="458"/>
      <c r="M144" s="764" t="s">
        <v>102</v>
      </c>
      <c r="N144" s="765"/>
      <c r="O144" s="528">
        <f>SUM(O97:O143)</f>
        <v>1422594</v>
      </c>
    </row>
    <row r="145" spans="1:15" ht="12.75">
      <c r="A145" s="346"/>
      <c r="B145" s="346"/>
      <c r="C145" s="346"/>
      <c r="D145" s="346"/>
      <c r="E145" s="471"/>
      <c r="F145" s="472"/>
      <c r="G145" s="405"/>
      <c r="H145" s="405"/>
      <c r="I145" s="405"/>
      <c r="J145" s="405"/>
      <c r="K145" s="405"/>
      <c r="L145" s="346"/>
      <c r="M145" s="346"/>
      <c r="N145" s="346"/>
      <c r="O145" s="346"/>
    </row>
    <row r="146" spans="1:15" ht="12.75">
      <c r="A146" s="346"/>
      <c r="B146" s="346"/>
      <c r="C146" s="346"/>
      <c r="D146" s="346"/>
      <c r="E146" s="471"/>
      <c r="F146" s="472"/>
      <c r="G146" s="405"/>
      <c r="H146" s="405"/>
      <c r="I146" s="405"/>
      <c r="J146" s="405"/>
      <c r="K146" s="405"/>
      <c r="L146" s="346"/>
      <c r="M146" s="346"/>
      <c r="N146" s="346"/>
      <c r="O146" s="346"/>
    </row>
    <row r="147" spans="1:15" ht="12.75">
      <c r="A147" s="346"/>
      <c r="B147" s="346"/>
      <c r="C147" s="346"/>
      <c r="D147" s="346"/>
      <c r="E147" s="471"/>
      <c r="F147" s="472"/>
      <c r="G147" s="405"/>
      <c r="H147" s="405"/>
      <c r="I147" s="405"/>
      <c r="J147" s="405"/>
      <c r="K147" s="405"/>
      <c r="L147" s="346"/>
      <c r="M147" s="346"/>
      <c r="N147" s="346"/>
      <c r="O147" s="346"/>
    </row>
    <row r="148" spans="1:15" ht="12.75">
      <c r="A148" s="346"/>
      <c r="B148" s="473"/>
      <c r="C148" s="346"/>
      <c r="D148" s="346"/>
      <c r="E148" s="471"/>
      <c r="F148" s="472"/>
      <c r="G148" s="405"/>
      <c r="H148" s="405"/>
      <c r="I148" s="405"/>
      <c r="J148" s="405"/>
      <c r="K148" s="405"/>
      <c r="L148" s="346"/>
      <c r="M148" s="346"/>
      <c r="N148" s="346"/>
      <c r="O148" s="346"/>
    </row>
    <row r="149" spans="1:15" ht="12.75">
      <c r="A149" s="346"/>
      <c r="B149" s="473"/>
      <c r="C149" s="346"/>
      <c r="D149" s="346"/>
      <c r="E149" s="471"/>
      <c r="F149" s="472"/>
      <c r="G149" s="405"/>
      <c r="H149" s="405"/>
      <c r="I149" s="405"/>
      <c r="J149" s="405"/>
      <c r="K149" s="405"/>
      <c r="L149" s="346"/>
      <c r="M149" s="346"/>
      <c r="N149" s="346"/>
      <c r="O149" s="346"/>
    </row>
    <row r="150" spans="1:15" s="327" customFormat="1" ht="12.75" customHeight="1">
      <c r="B150" s="328"/>
      <c r="C150" s="328"/>
      <c r="E150" s="746"/>
      <c r="F150" s="746"/>
      <c r="G150" s="746"/>
      <c r="L150" s="746"/>
      <c r="M150" s="746"/>
      <c r="N150" s="746"/>
    </row>
  </sheetData>
  <mergeCells count="42">
    <mergeCell ref="A91:A94"/>
    <mergeCell ref="E91:E94"/>
    <mergeCell ref="F91:F94"/>
    <mergeCell ref="A1:O1"/>
    <mergeCell ref="A2:O2"/>
    <mergeCell ref="E8:F8"/>
    <mergeCell ref="B76:C76"/>
    <mergeCell ref="B77:C77"/>
    <mergeCell ref="N91:N93"/>
    <mergeCell ref="L91:L93"/>
    <mergeCell ref="A3:B3"/>
    <mergeCell ref="B4:O4"/>
    <mergeCell ref="A6:I6"/>
    <mergeCell ref="A8:A10"/>
    <mergeCell ref="B8:B10"/>
    <mergeCell ref="J6:N6"/>
    <mergeCell ref="M144:N144"/>
    <mergeCell ref="M90:O90"/>
    <mergeCell ref="B80:C80"/>
    <mergeCell ref="B87:N87"/>
    <mergeCell ref="B89:G89"/>
    <mergeCell ref="I92:I94"/>
    <mergeCell ref="J92:J94"/>
    <mergeCell ref="O91:O94"/>
    <mergeCell ref="C91:C94"/>
    <mergeCell ref="D91:D94"/>
    <mergeCell ref="C8:C10"/>
    <mergeCell ref="D8:D10"/>
    <mergeCell ref="E150:G150"/>
    <mergeCell ref="E35:G35"/>
    <mergeCell ref="L35:N35"/>
    <mergeCell ref="L150:N150"/>
    <mergeCell ref="G91:G93"/>
    <mergeCell ref="M91:M93"/>
    <mergeCell ref="H91:J91"/>
    <mergeCell ref="K91:K94"/>
    <mergeCell ref="A84:O84"/>
    <mergeCell ref="A85:O85"/>
    <mergeCell ref="H92:H94"/>
    <mergeCell ref="B78:C78"/>
    <mergeCell ref="B79:C79"/>
    <mergeCell ref="B91:B94"/>
  </mergeCells>
  <pageMargins left="0.43307086614173201" right="0.15748031496063" top="0.3" bottom="0.48" header="0.22" footer="0.15748031496063"/>
  <pageSetup paperSize="9" scale="81" orientation="landscape" horizontalDpi="180" verticalDpi="180" r:id="rId1"/>
  <headerFooter alignWithMargins="0"/>
  <rowBreaks count="2" manualBreakCount="2">
    <brk id="36" max="14" man="1"/>
    <brk id="83"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497"/>
  <sheetViews>
    <sheetView workbookViewId="0">
      <selection activeCell="J22" sqref="J22"/>
    </sheetView>
  </sheetViews>
  <sheetFormatPr defaultRowHeight="11.25"/>
  <cols>
    <col min="1" max="1" width="6" style="47" customWidth="1"/>
    <col min="2" max="2" width="35.5703125" style="47" customWidth="1"/>
    <col min="3" max="3" width="2.42578125" style="47" customWidth="1"/>
    <col min="4" max="4" width="4.5703125" style="51" customWidth="1"/>
    <col min="5" max="5" width="7.85546875" style="51" customWidth="1"/>
    <col min="6" max="6" width="8.140625" style="51" customWidth="1"/>
    <col min="7" max="7" width="3.85546875" style="47" customWidth="1"/>
    <col min="8" max="8" width="7.7109375" style="47" customWidth="1"/>
    <col min="9" max="9" width="10.140625" style="47" customWidth="1"/>
    <col min="10" max="10" width="9.85546875" style="47" customWidth="1"/>
    <col min="11" max="16384" width="9.140625" style="47"/>
  </cols>
  <sheetData>
    <row r="1" spans="1:18">
      <c r="A1" s="804" t="str">
        <f>[1]BS1!A1</f>
        <v>MAHARASHTRA STATE WAREHOUSING CORPORATION</v>
      </c>
      <c r="B1" s="804"/>
      <c r="C1" s="804"/>
      <c r="D1" s="804"/>
      <c r="E1" s="804"/>
      <c r="F1" s="804"/>
      <c r="G1" s="804"/>
      <c r="H1" s="804"/>
    </row>
    <row r="2" spans="1:18">
      <c r="A2" s="804" t="str">
        <f>[1]BS1!A2</f>
        <v>583/B, Market Yard, Gultekadi, Pune - 411037</v>
      </c>
      <c r="B2" s="804"/>
      <c r="C2" s="804"/>
      <c r="D2" s="804"/>
      <c r="E2" s="804"/>
      <c r="F2" s="804"/>
      <c r="G2" s="804"/>
      <c r="H2" s="804"/>
    </row>
    <row r="4" spans="1:18" ht="42.75" customHeight="1">
      <c r="A4" s="48"/>
      <c r="B4" s="805" t="s">
        <v>170</v>
      </c>
      <c r="C4" s="805"/>
      <c r="D4" s="805"/>
      <c r="E4" s="805"/>
      <c r="F4" s="805"/>
      <c r="G4" s="805"/>
      <c r="H4" s="805"/>
      <c r="I4" s="805"/>
      <c r="J4" s="49"/>
      <c r="K4" s="49"/>
      <c r="L4" s="49"/>
      <c r="M4" s="49"/>
      <c r="N4" s="49"/>
      <c r="O4" s="49"/>
      <c r="P4" s="49"/>
      <c r="Q4" s="49"/>
      <c r="R4" s="49"/>
    </row>
    <row r="5" spans="1:18" ht="20.25" customHeight="1">
      <c r="A5" s="48"/>
      <c r="B5" s="806" t="s">
        <v>171</v>
      </c>
      <c r="C5" s="806"/>
      <c r="D5" s="806"/>
      <c r="E5" s="806"/>
      <c r="F5" s="50"/>
      <c r="G5" s="50"/>
      <c r="H5" s="50"/>
      <c r="I5" s="50"/>
      <c r="J5" s="49"/>
      <c r="K5" s="49"/>
      <c r="L5" s="49"/>
      <c r="M5" s="49"/>
      <c r="N5" s="49"/>
      <c r="O5" s="49"/>
      <c r="P5" s="49"/>
      <c r="Q5" s="49"/>
      <c r="R5" s="49"/>
    </row>
    <row r="6" spans="1:18">
      <c r="A6" s="51"/>
      <c r="G6" s="51"/>
      <c r="H6" s="51"/>
    </row>
    <row r="7" spans="1:18">
      <c r="A7" s="51"/>
      <c r="B7" s="47" t="s">
        <v>172</v>
      </c>
      <c r="G7" s="51"/>
      <c r="H7" s="51"/>
    </row>
    <row r="8" spans="1:18">
      <c r="A8" s="51"/>
      <c r="B8" s="51"/>
      <c r="C8" s="51"/>
      <c r="G8" s="51"/>
      <c r="H8" s="51"/>
    </row>
    <row r="9" spans="1:18" ht="43.5" customHeight="1">
      <c r="A9" s="52"/>
      <c r="B9" s="807" t="s">
        <v>360</v>
      </c>
      <c r="C9" s="807"/>
      <c r="D9" s="807"/>
      <c r="E9" s="807"/>
      <c r="F9" s="807"/>
      <c r="G9" s="807"/>
      <c r="H9" s="807"/>
    </row>
    <row r="11" spans="1:18" ht="12.75">
      <c r="B11" s="53" t="s">
        <v>173</v>
      </c>
      <c r="C11" s="53"/>
      <c r="D11" s="54"/>
      <c r="E11" s="54"/>
      <c r="F11" s="54"/>
    </row>
    <row r="12" spans="1:18" ht="12.75">
      <c r="B12" s="53" t="s">
        <v>174</v>
      </c>
      <c r="C12" s="53"/>
      <c r="D12" s="54">
        <v>1</v>
      </c>
      <c r="E12" s="55">
        <v>52</v>
      </c>
      <c r="F12" s="55">
        <f>D12*E12</f>
        <v>52</v>
      </c>
    </row>
    <row r="13" spans="1:18" ht="12.75">
      <c r="B13" s="55" t="s">
        <v>134</v>
      </c>
      <c r="C13" s="55"/>
      <c r="D13" s="54">
        <v>1</v>
      </c>
      <c r="E13" s="55">
        <f>[1]MRdiff!G21</f>
        <v>70.67</v>
      </c>
      <c r="F13" s="55">
        <f>D13*E13</f>
        <v>70.67</v>
      </c>
    </row>
    <row r="14" spans="1:18" ht="12.75">
      <c r="B14" s="53" t="s">
        <v>175</v>
      </c>
      <c r="C14" s="53"/>
      <c r="D14" s="54">
        <v>1</v>
      </c>
      <c r="E14" s="55">
        <f>[2]Abstract!E23</f>
        <v>251.67</v>
      </c>
      <c r="F14" s="55">
        <f>D14*E14</f>
        <v>251.67</v>
      </c>
    </row>
    <row r="15" spans="1:18" ht="12.75">
      <c r="B15" s="53"/>
      <c r="C15" s="53"/>
      <c r="D15" s="54"/>
      <c r="E15" s="54"/>
      <c r="F15" s="55"/>
    </row>
    <row r="16" spans="1:18" ht="12.75">
      <c r="B16" s="53" t="s">
        <v>176</v>
      </c>
      <c r="C16" s="53"/>
      <c r="D16" s="54">
        <v>1</v>
      </c>
      <c r="E16" s="55">
        <v>14</v>
      </c>
      <c r="F16" s="55">
        <f>D16*E16</f>
        <v>14</v>
      </c>
    </row>
    <row r="17" spans="1:14" ht="12.75">
      <c r="B17" s="56" t="s">
        <v>177</v>
      </c>
      <c r="C17" s="56"/>
      <c r="D17" s="54"/>
      <c r="E17" s="54"/>
      <c r="F17" s="55">
        <f>SUM(F12:F16)</f>
        <v>388.34</v>
      </c>
    </row>
    <row r="18" spans="1:14" ht="12.75">
      <c r="B18" s="53" t="s">
        <v>178</v>
      </c>
      <c r="C18" s="53"/>
      <c r="D18" s="54"/>
      <c r="E18" s="54"/>
      <c r="F18" s="55">
        <f>F17*0.2</f>
        <v>77.668000000000006</v>
      </c>
    </row>
    <row r="19" spans="1:14" ht="12.75">
      <c r="B19" s="56" t="s">
        <v>179</v>
      </c>
      <c r="C19" s="56"/>
      <c r="D19" s="54"/>
      <c r="E19" s="54"/>
      <c r="F19" s="55">
        <f>F17+F18</f>
        <v>466.00799999999998</v>
      </c>
    </row>
    <row r="20" spans="1:14" ht="12.75">
      <c r="B20" s="53" t="s">
        <v>180</v>
      </c>
      <c r="C20" s="53"/>
      <c r="D20" s="54"/>
      <c r="E20" s="54"/>
      <c r="F20" s="54"/>
    </row>
    <row r="21" spans="1:14" ht="12.75">
      <c r="B21" s="53" t="s">
        <v>181</v>
      </c>
      <c r="C21" s="53"/>
      <c r="D21" s="54">
        <v>1.2</v>
      </c>
      <c r="E21" s="57">
        <v>15</v>
      </c>
      <c r="F21" s="55">
        <f>D21*E21</f>
        <v>18</v>
      </c>
    </row>
    <row r="22" spans="1:14" ht="12.75">
      <c r="B22" s="56" t="s">
        <v>182</v>
      </c>
      <c r="C22" s="56"/>
      <c r="D22" s="54"/>
      <c r="E22" s="54"/>
      <c r="F22" s="55">
        <f>F19-F21</f>
        <v>448.00799999999998</v>
      </c>
    </row>
    <row r="23" spans="1:14" ht="12.75">
      <c r="B23" s="58" t="s">
        <v>183</v>
      </c>
      <c r="C23" s="58"/>
      <c r="D23" s="54"/>
      <c r="E23" s="54"/>
      <c r="F23" s="57">
        <f>F22</f>
        <v>448.00799999999998</v>
      </c>
    </row>
    <row r="24" spans="1:14" ht="12.75">
      <c r="B24" s="58"/>
      <c r="C24" s="58"/>
      <c r="D24" s="54"/>
      <c r="E24" s="54"/>
      <c r="F24" s="57"/>
    </row>
    <row r="25" spans="1:14">
      <c r="B25" s="59"/>
      <c r="C25" s="59"/>
      <c r="F25" s="60"/>
    </row>
    <row r="26" spans="1:14" s="61" customFormat="1" ht="15">
      <c r="E26" s="64"/>
      <c r="F26" s="65"/>
      <c r="G26" s="63"/>
      <c r="H26" s="62"/>
    </row>
    <row r="27" spans="1:14" s="61" customFormat="1" ht="15">
      <c r="D27" s="62"/>
      <c r="E27" s="62"/>
      <c r="F27" s="66"/>
    </row>
    <row r="28" spans="1:14" s="70" customFormat="1" ht="15">
      <c r="A28" s="67"/>
      <c r="B28" s="68" t="s">
        <v>185</v>
      </c>
      <c r="C28" s="69"/>
      <c r="D28" s="69"/>
      <c r="E28" s="69"/>
      <c r="F28" s="69"/>
      <c r="G28" s="802" t="s">
        <v>169</v>
      </c>
      <c r="H28" s="802"/>
      <c r="I28" s="802"/>
      <c r="J28" s="69"/>
      <c r="N28" s="69"/>
    </row>
    <row r="29" spans="1:14" s="70" customFormat="1" ht="15">
      <c r="A29" s="67"/>
      <c r="B29" s="71" t="s">
        <v>186</v>
      </c>
      <c r="C29" s="71"/>
      <c r="D29" s="71"/>
      <c r="E29" s="71"/>
      <c r="F29" s="71"/>
      <c r="G29" s="71"/>
      <c r="H29" s="69" t="s">
        <v>187</v>
      </c>
      <c r="I29" s="69"/>
      <c r="J29" s="69"/>
      <c r="N29" s="69"/>
    </row>
    <row r="30" spans="1:14" s="61" customFormat="1" ht="15"/>
    <row r="31" spans="1:14" s="61" customFormat="1" ht="15"/>
    <row r="32" spans="1:14" s="61" customFormat="1" ht="15"/>
    <row r="33" spans="1:6" s="61" customFormat="1" ht="15"/>
    <row r="34" spans="1:6" s="61" customFormat="1" ht="15"/>
    <row r="35" spans="1:6" s="61" customFormat="1" ht="15"/>
    <row r="36" spans="1:6" s="61" customFormat="1" ht="15"/>
    <row r="37" spans="1:6" s="61" customFormat="1" ht="15"/>
    <row r="38" spans="1:6" s="61" customFormat="1" ht="15"/>
    <row r="39" spans="1:6" s="61" customFormat="1" ht="15"/>
    <row r="40" spans="1:6" s="61" customFormat="1" ht="15"/>
    <row r="41" spans="1:6" s="61" customFormat="1" ht="15"/>
    <row r="42" spans="1:6" s="61" customFormat="1" ht="15"/>
    <row r="43" spans="1:6" s="61" customFormat="1" ht="15"/>
    <row r="44" spans="1:6" s="61" customFormat="1" ht="15"/>
    <row r="45" spans="1:6">
      <c r="A45" s="47" t="s">
        <v>188</v>
      </c>
      <c r="B45" s="47" t="s">
        <v>189</v>
      </c>
    </row>
    <row r="47" spans="1:6">
      <c r="B47" s="47" t="s">
        <v>190</v>
      </c>
    </row>
    <row r="48" spans="1:6">
      <c r="B48" s="72" t="s">
        <v>191</v>
      </c>
      <c r="C48" s="72"/>
      <c r="D48" s="51">
        <v>1</v>
      </c>
      <c r="E48" s="73">
        <v>106</v>
      </c>
      <c r="F48" s="74">
        <f>D48*E48</f>
        <v>106</v>
      </c>
    </row>
    <row r="49" spans="1:8">
      <c r="B49" s="47" t="s">
        <v>192</v>
      </c>
      <c r="D49" s="51">
        <v>1</v>
      </c>
      <c r="E49" s="73">
        <f>[1]MRdiff!N17</f>
        <v>313.61</v>
      </c>
      <c r="F49" s="74">
        <f>D49*E49</f>
        <v>313.61</v>
      </c>
    </row>
    <row r="50" spans="1:8">
      <c r="B50" s="47" t="s">
        <v>193</v>
      </c>
      <c r="C50" s="75"/>
      <c r="D50" s="51">
        <v>1</v>
      </c>
      <c r="E50" s="73">
        <v>21.5</v>
      </c>
      <c r="F50" s="74">
        <f>D50*E50</f>
        <v>21.5</v>
      </c>
    </row>
    <row r="51" spans="1:8">
      <c r="B51" s="47" t="s">
        <v>194</v>
      </c>
      <c r="D51" s="76">
        <v>0.32</v>
      </c>
      <c r="E51" s="73"/>
      <c r="F51" s="74">
        <f>(F50+F49+F48)*D51</f>
        <v>141.15520000000001</v>
      </c>
    </row>
    <row r="52" spans="1:8">
      <c r="B52" s="77" t="s">
        <v>195</v>
      </c>
      <c r="C52" s="77"/>
      <c r="F52" s="74">
        <f>SUM(F48:F51)</f>
        <v>582.26520000000005</v>
      </c>
    </row>
    <row r="53" spans="1:8">
      <c r="B53" s="77"/>
      <c r="C53" s="77"/>
      <c r="F53" s="74"/>
    </row>
    <row r="54" spans="1:8">
      <c r="B54" s="77" t="s">
        <v>196</v>
      </c>
      <c r="C54" s="77"/>
      <c r="F54" s="74">
        <f>SUM(F52:F52)</f>
        <v>582.26520000000005</v>
      </c>
    </row>
    <row r="56" spans="1:8">
      <c r="A56" s="59"/>
      <c r="B56" s="78" t="s">
        <v>197</v>
      </c>
      <c r="C56" s="78"/>
      <c r="D56" s="79"/>
      <c r="E56" s="79"/>
      <c r="F56" s="60">
        <f>ROUND(F54,1)</f>
        <v>582.29999999999995</v>
      </c>
    </row>
    <row r="57" spans="1:8">
      <c r="A57" s="51"/>
      <c r="B57" s="51"/>
      <c r="C57" s="51"/>
      <c r="G57" s="51"/>
      <c r="H57" s="51"/>
    </row>
    <row r="58" spans="1:8">
      <c r="A58" s="47" t="s">
        <v>198</v>
      </c>
      <c r="B58" s="47" t="s">
        <v>199</v>
      </c>
    </row>
    <row r="60" spans="1:8">
      <c r="B60" s="47" t="s">
        <v>200</v>
      </c>
    </row>
    <row r="61" spans="1:8">
      <c r="B61" s="72" t="s">
        <v>201</v>
      </c>
      <c r="C61" s="72"/>
      <c r="D61" s="51">
        <v>1</v>
      </c>
      <c r="E61" s="73">
        <f>1880/20</f>
        <v>94</v>
      </c>
      <c r="F61" s="74">
        <f>D61*E61</f>
        <v>94</v>
      </c>
    </row>
    <row r="62" spans="1:8">
      <c r="B62" s="47" t="s">
        <v>202</v>
      </c>
      <c r="D62" s="51">
        <v>1</v>
      </c>
      <c r="E62" s="73">
        <f>2300/18</f>
        <v>127.77777777777777</v>
      </c>
      <c r="F62" s="74">
        <f>D62*E62</f>
        <v>127.77777777777777</v>
      </c>
    </row>
    <row r="63" spans="1:8">
      <c r="B63" s="47" t="s">
        <v>203</v>
      </c>
      <c r="D63" s="51">
        <v>1</v>
      </c>
      <c r="E63" s="73">
        <v>10</v>
      </c>
      <c r="F63" s="74">
        <f>D63*E63</f>
        <v>10</v>
      </c>
    </row>
    <row r="64" spans="1:8">
      <c r="B64" s="77" t="s">
        <v>195</v>
      </c>
      <c r="C64" s="77"/>
      <c r="F64" s="74">
        <f>SUM(F61:F63)</f>
        <v>231.77777777777777</v>
      </c>
    </row>
    <row r="65" spans="1:9">
      <c r="B65" s="47" t="s">
        <v>204</v>
      </c>
      <c r="F65" s="74">
        <f>F64*0.1</f>
        <v>23.177777777777777</v>
      </c>
    </row>
    <row r="66" spans="1:9">
      <c r="B66" s="77" t="s">
        <v>196</v>
      </c>
      <c r="C66" s="77"/>
      <c r="F66" s="74">
        <f>SUM(F64:F65)</f>
        <v>254.95555555555555</v>
      </c>
    </row>
    <row r="68" spans="1:9">
      <c r="A68" s="59"/>
      <c r="B68" s="78" t="s">
        <v>197</v>
      </c>
      <c r="C68" s="78"/>
      <c r="D68" s="79"/>
      <c r="E68" s="79"/>
      <c r="F68" s="60">
        <f>ROUND(F66,1)</f>
        <v>255</v>
      </c>
      <c r="G68" s="47" t="s">
        <v>205</v>
      </c>
    </row>
    <row r="69" spans="1:9">
      <c r="A69" s="59"/>
      <c r="B69" s="78"/>
      <c r="C69" s="78"/>
      <c r="D69" s="79"/>
      <c r="E69" s="79"/>
      <c r="F69" s="60"/>
    </row>
    <row r="70" spans="1:9">
      <c r="A70" s="47" t="s">
        <v>206</v>
      </c>
      <c r="B70" s="47" t="s">
        <v>207</v>
      </c>
    </row>
    <row r="71" spans="1:9">
      <c r="D71" s="51" t="s">
        <v>208</v>
      </c>
      <c r="E71" s="51" t="s">
        <v>92</v>
      </c>
      <c r="F71" s="51" t="s">
        <v>104</v>
      </c>
    </row>
    <row r="72" spans="1:9">
      <c r="B72" s="47" t="s">
        <v>209</v>
      </c>
      <c r="D72" s="74">
        <v>1</v>
      </c>
      <c r="E72" s="73">
        <v>2107</v>
      </c>
      <c r="F72" s="74">
        <f>D72*E72</f>
        <v>2107</v>
      </c>
      <c r="G72" s="80"/>
    </row>
    <row r="73" spans="1:9">
      <c r="B73" s="47" t="s">
        <v>210</v>
      </c>
      <c r="D73" s="74">
        <v>1</v>
      </c>
      <c r="E73" s="73">
        <f>800/I73</f>
        <v>149.39309056956117</v>
      </c>
      <c r="F73" s="74">
        <f>D73*E73</f>
        <v>149.39309056956117</v>
      </c>
      <c r="G73" s="80">
        <v>2.1</v>
      </c>
      <c r="H73" s="80">
        <v>2.5499999999999998</v>
      </c>
      <c r="I73" s="74">
        <f>G73*H73</f>
        <v>5.3549999999999995</v>
      </c>
    </row>
    <row r="74" spans="1:9">
      <c r="B74" s="47" t="s">
        <v>211</v>
      </c>
      <c r="D74" s="74"/>
      <c r="E74" s="74"/>
      <c r="F74" s="74"/>
      <c r="G74" s="80"/>
    </row>
    <row r="75" spans="1:9">
      <c r="B75" s="51" t="s">
        <v>212</v>
      </c>
      <c r="C75" s="51"/>
      <c r="D75" s="74"/>
      <c r="E75" s="74"/>
      <c r="F75" s="74"/>
      <c r="G75" s="80"/>
    </row>
    <row r="76" spans="1:9">
      <c r="B76" s="51" t="s">
        <v>213</v>
      </c>
      <c r="C76" s="51"/>
      <c r="D76" s="74"/>
      <c r="E76" s="74"/>
      <c r="F76" s="74"/>
      <c r="G76" s="80"/>
    </row>
    <row r="77" spans="1:9">
      <c r="B77" s="77" t="s">
        <v>214</v>
      </c>
      <c r="C77" s="77"/>
      <c r="D77" s="74">
        <v>15.92</v>
      </c>
      <c r="E77" s="81">
        <v>43</v>
      </c>
      <c r="F77" s="74">
        <f>D77*E77/I73</f>
        <v>127.83566760037348</v>
      </c>
      <c r="G77" s="80"/>
    </row>
    <row r="78" spans="1:9">
      <c r="B78" s="82" t="s">
        <v>215</v>
      </c>
      <c r="C78" s="82"/>
      <c r="D78" s="74"/>
      <c r="E78" s="74"/>
      <c r="F78" s="74"/>
      <c r="G78" s="80"/>
    </row>
    <row r="79" spans="1:9">
      <c r="B79" s="72" t="s">
        <v>216</v>
      </c>
      <c r="C79" s="82"/>
      <c r="D79" s="74">
        <f>75/I73</f>
        <v>14.00560224089636</v>
      </c>
      <c r="E79" s="74">
        <f>[1]MRdiff!$M$26</f>
        <v>0</v>
      </c>
      <c r="F79" s="74">
        <f>D79*E79</f>
        <v>0</v>
      </c>
      <c r="G79" s="80"/>
    </row>
    <row r="80" spans="1:9">
      <c r="B80" s="72" t="s">
        <v>217</v>
      </c>
      <c r="C80" s="82"/>
      <c r="D80" s="74">
        <v>4</v>
      </c>
      <c r="E80" s="74">
        <v>25</v>
      </c>
      <c r="F80" s="74">
        <f>D80*E80</f>
        <v>100</v>
      </c>
      <c r="G80" s="80"/>
    </row>
    <row r="81" spans="1:9">
      <c r="D81" s="74" t="s">
        <v>9</v>
      </c>
      <c r="E81" s="74"/>
      <c r="F81" s="74">
        <f>SUM(F72:F80)</f>
        <v>2484.2287581699347</v>
      </c>
      <c r="G81" s="80"/>
    </row>
    <row r="82" spans="1:9">
      <c r="D82" s="74"/>
      <c r="E82" s="74"/>
      <c r="F82" s="74"/>
      <c r="G82" s="80"/>
    </row>
    <row r="83" spans="1:9">
      <c r="D83" s="74" t="s">
        <v>16</v>
      </c>
      <c r="E83" s="74"/>
      <c r="F83" s="60">
        <f>ROUND(F81,1)</f>
        <v>2484.1999999999998</v>
      </c>
      <c r="G83" s="80"/>
    </row>
    <row r="85" spans="1:9">
      <c r="A85" s="47" t="s">
        <v>218</v>
      </c>
      <c r="B85" s="47" t="s">
        <v>219</v>
      </c>
    </row>
    <row r="87" spans="1:9">
      <c r="D87" s="51" t="s">
        <v>208</v>
      </c>
      <c r="E87" s="51" t="s">
        <v>92</v>
      </c>
      <c r="F87" s="51" t="s">
        <v>104</v>
      </c>
    </row>
    <row r="88" spans="1:9">
      <c r="B88" s="47" t="s">
        <v>220</v>
      </c>
      <c r="D88" s="74">
        <v>1</v>
      </c>
      <c r="E88" s="73">
        <v>2090</v>
      </c>
      <c r="F88" s="74">
        <f>D88*E88</f>
        <v>2090</v>
      </c>
      <c r="G88" s="80"/>
    </row>
    <row r="89" spans="1:9">
      <c r="B89" s="47" t="s">
        <v>210</v>
      </c>
      <c r="D89" s="74">
        <v>1</v>
      </c>
      <c r="E89" s="73">
        <f>800/I89</f>
        <v>57.142857142857146</v>
      </c>
      <c r="F89" s="74">
        <f>D89*E89</f>
        <v>57.142857142857146</v>
      </c>
      <c r="G89" s="80">
        <v>3.5</v>
      </c>
      <c r="H89" s="80">
        <v>4</v>
      </c>
      <c r="I89" s="74">
        <f>G89*H89</f>
        <v>14</v>
      </c>
    </row>
    <row r="90" spans="1:9">
      <c r="H90" s="80"/>
    </row>
    <row r="91" spans="1:9">
      <c r="B91" s="47" t="s">
        <v>221</v>
      </c>
    </row>
    <row r="92" spans="1:9">
      <c r="B92" s="51" t="s">
        <v>222</v>
      </c>
      <c r="C92" s="51"/>
      <c r="D92" s="74">
        <f>2*1.14*3.6*4</f>
        <v>32.832000000000001</v>
      </c>
    </row>
    <row r="93" spans="1:9">
      <c r="B93" s="51" t="s">
        <v>223</v>
      </c>
      <c r="C93" s="51"/>
      <c r="D93" s="74">
        <f>3.8*1.25</f>
        <v>4.75</v>
      </c>
    </row>
    <row r="94" spans="1:9">
      <c r="B94" s="77" t="s">
        <v>224</v>
      </c>
      <c r="C94" s="77"/>
      <c r="D94" s="74">
        <f>SUM(D92:D93)</f>
        <v>37.582000000000001</v>
      </c>
      <c r="E94" s="81">
        <f>E77</f>
        <v>43</v>
      </c>
      <c r="F94" s="74">
        <f>D94*E94/I89</f>
        <v>115.43042857142858</v>
      </c>
    </row>
    <row r="95" spans="1:9">
      <c r="B95" s="82" t="str">
        <f>B78</f>
        <v>I.N. 247/ P N 102</v>
      </c>
      <c r="C95" s="82"/>
    </row>
    <row r="96" spans="1:9">
      <c r="B96" s="72" t="s">
        <v>216</v>
      </c>
      <c r="C96" s="82"/>
      <c r="D96" s="74">
        <f>196/I89</f>
        <v>14</v>
      </c>
      <c r="E96" s="74">
        <f>[1]MRdiff!$M$26</f>
        <v>0</v>
      </c>
      <c r="F96" s="74">
        <f>D96*E96</f>
        <v>0</v>
      </c>
    </row>
    <row r="97" spans="1:9">
      <c r="B97" s="72" t="s">
        <v>217</v>
      </c>
      <c r="C97" s="82"/>
      <c r="D97" s="74">
        <v>4</v>
      </c>
      <c r="E97" s="74">
        <v>25</v>
      </c>
      <c r="F97" s="74">
        <f>D97*E97</f>
        <v>100</v>
      </c>
    </row>
    <row r="98" spans="1:9">
      <c r="D98" s="51" t="s">
        <v>9</v>
      </c>
      <c r="F98" s="74">
        <f>SUM(F88:F95)</f>
        <v>2262.5732857142857</v>
      </c>
    </row>
    <row r="99" spans="1:9">
      <c r="F99" s="60"/>
    </row>
    <row r="100" spans="1:9">
      <c r="D100" s="51" t="s">
        <v>16</v>
      </c>
      <c r="F100" s="60">
        <f>ROUND(F98,1)</f>
        <v>2262.6</v>
      </c>
    </row>
    <row r="102" spans="1:9">
      <c r="A102" s="47" t="s">
        <v>225</v>
      </c>
      <c r="B102" s="47" t="s">
        <v>226</v>
      </c>
    </row>
    <row r="103" spans="1:9">
      <c r="D103" s="72" t="s">
        <v>227</v>
      </c>
      <c r="E103" s="51" t="s">
        <v>92</v>
      </c>
      <c r="F103" s="51" t="s">
        <v>104</v>
      </c>
    </row>
    <row r="104" spans="1:9">
      <c r="B104" s="47" t="s">
        <v>228</v>
      </c>
      <c r="G104" s="74">
        <v>2.1</v>
      </c>
      <c r="H104" s="74">
        <v>2.5499999999999998</v>
      </c>
      <c r="I104" s="83">
        <f>G104*H104</f>
        <v>5.3549999999999995</v>
      </c>
    </row>
    <row r="105" spans="1:9">
      <c r="B105" s="47" t="str">
        <f>B72</f>
        <v>1- Basic rate as per D.S.R.  I N 354  P N 128</v>
      </c>
      <c r="D105" s="83">
        <f>5.355-(2.25*1.7)</f>
        <v>1.5300000000000007</v>
      </c>
      <c r="E105" s="84">
        <f>E72</f>
        <v>2107</v>
      </c>
      <c r="F105" s="74">
        <f>D105*E105</f>
        <v>3223.7100000000014</v>
      </c>
    </row>
    <row r="106" spans="1:9">
      <c r="B106" s="47" t="s">
        <v>229</v>
      </c>
    </row>
    <row r="107" spans="1:9">
      <c r="B107" s="47" t="s">
        <v>230</v>
      </c>
      <c r="D107" s="51">
        <f>2.25*1.7</f>
        <v>3.8249999999999997</v>
      </c>
      <c r="E107" s="85">
        <f>I107</f>
        <v>968.4</v>
      </c>
      <c r="F107" s="86">
        <f>D107*E107</f>
        <v>3704.1299999999997</v>
      </c>
      <c r="G107" s="87">
        <v>90</v>
      </c>
      <c r="H107" s="80">
        <v>10.76</v>
      </c>
      <c r="I107" s="80">
        <f>G107*H107</f>
        <v>968.4</v>
      </c>
    </row>
    <row r="108" spans="1:9">
      <c r="B108" s="47" t="s">
        <v>231</v>
      </c>
      <c r="H108" s="80"/>
    </row>
    <row r="109" spans="1:9">
      <c r="B109" s="47" t="s">
        <v>232</v>
      </c>
      <c r="H109" s="80"/>
    </row>
    <row r="110" spans="1:9">
      <c r="B110" s="47" t="s">
        <v>233</v>
      </c>
      <c r="F110" s="74">
        <v>800</v>
      </c>
      <c r="H110" s="80"/>
    </row>
    <row r="111" spans="1:9">
      <c r="B111" s="47" t="s">
        <v>234</v>
      </c>
    </row>
    <row r="112" spans="1:9">
      <c r="B112" s="51" t="s">
        <v>212</v>
      </c>
      <c r="C112" s="51"/>
    </row>
    <row r="113" spans="1:6">
      <c r="B113" s="51" t="s">
        <v>213</v>
      </c>
      <c r="C113" s="51"/>
    </row>
    <row r="114" spans="1:6">
      <c r="B114" s="77" t="s">
        <v>214</v>
      </c>
      <c r="C114" s="77"/>
      <c r="D114" s="74">
        <f>15.92-(2*3.82*1.14)</f>
        <v>7.2104000000000017</v>
      </c>
      <c r="E114" s="73">
        <f>E77</f>
        <v>43</v>
      </c>
      <c r="F114" s="74">
        <f>D114*E114</f>
        <v>310.04720000000009</v>
      </c>
    </row>
    <row r="115" spans="1:6">
      <c r="B115" s="77" t="s">
        <v>235</v>
      </c>
      <c r="C115" s="77"/>
      <c r="E115" s="60"/>
    </row>
    <row r="116" spans="1:6">
      <c r="B116" s="47" t="s">
        <v>236</v>
      </c>
      <c r="D116" s="51">
        <v>3.82</v>
      </c>
      <c r="E116" s="73">
        <f>E114</f>
        <v>43</v>
      </c>
      <c r="F116" s="74">
        <f>D116*E116</f>
        <v>164.26</v>
      </c>
    </row>
    <row r="117" spans="1:6">
      <c r="B117" s="77"/>
      <c r="C117" s="77"/>
    </row>
    <row r="118" spans="1:6">
      <c r="B118" s="47" t="str">
        <f>B78</f>
        <v>I.N. 247/ P N 102</v>
      </c>
    </row>
    <row r="119" spans="1:6">
      <c r="B119" s="72" t="s">
        <v>216</v>
      </c>
      <c r="C119" s="82"/>
      <c r="D119" s="74">
        <f>75/I104</f>
        <v>14.00560224089636</v>
      </c>
      <c r="E119" s="74">
        <f>[1]MRdiff!$M$26</f>
        <v>0</v>
      </c>
      <c r="F119" s="74">
        <f>D119*E119</f>
        <v>0</v>
      </c>
    </row>
    <row r="120" spans="1:6">
      <c r="B120" s="72" t="s">
        <v>217</v>
      </c>
      <c r="C120" s="82"/>
      <c r="D120" s="74">
        <v>4</v>
      </c>
      <c r="E120" s="74">
        <v>25</v>
      </c>
      <c r="F120" s="74">
        <f>D120*E120</f>
        <v>100</v>
      </c>
    </row>
    <row r="123" spans="1:6">
      <c r="F123" s="74">
        <f>SUM(F105:F118)</f>
        <v>8202.1472000000012</v>
      </c>
    </row>
    <row r="124" spans="1:6">
      <c r="B124" s="47" t="s">
        <v>237</v>
      </c>
      <c r="F124" s="60">
        <f>F123/I104</f>
        <v>1531.6801493930909</v>
      </c>
    </row>
    <row r="126" spans="1:6">
      <c r="E126" s="79" t="s">
        <v>238</v>
      </c>
      <c r="F126" s="60">
        <f>ROUND(F124,1)</f>
        <v>1531.7</v>
      </c>
    </row>
    <row r="127" spans="1:6">
      <c r="A127" s="47" t="s">
        <v>239</v>
      </c>
      <c r="B127" s="47" t="s">
        <v>240</v>
      </c>
      <c r="D127" s="51" t="s">
        <v>208</v>
      </c>
      <c r="E127" s="51" t="s">
        <v>92</v>
      </c>
      <c r="F127" s="51" t="s">
        <v>104</v>
      </c>
    </row>
    <row r="128" spans="1:6">
      <c r="B128" s="47" t="s">
        <v>241</v>
      </c>
      <c r="D128" s="51">
        <v>0.36</v>
      </c>
    </row>
    <row r="130" spans="2:10">
      <c r="B130" s="59" t="s">
        <v>242</v>
      </c>
      <c r="C130" s="59"/>
      <c r="D130" s="74">
        <f>D128</f>
        <v>0.36</v>
      </c>
      <c r="E130" s="73">
        <v>2440</v>
      </c>
      <c r="F130" s="60">
        <f>D130*E130</f>
        <v>878.4</v>
      </c>
    </row>
    <row r="132" spans="2:10">
      <c r="B132" s="59" t="s">
        <v>243</v>
      </c>
      <c r="C132" s="59"/>
    </row>
    <row r="133" spans="2:10">
      <c r="B133" s="47" t="s">
        <v>244</v>
      </c>
      <c r="G133" s="74">
        <v>2.4</v>
      </c>
      <c r="H133" s="51">
        <v>0.45</v>
      </c>
      <c r="I133" s="74">
        <f>G133*H133</f>
        <v>1.08</v>
      </c>
    </row>
    <row r="135" spans="2:10">
      <c r="B135" s="47" t="s">
        <v>245</v>
      </c>
    </row>
    <row r="137" spans="2:10">
      <c r="B137" s="47" t="s">
        <v>246</v>
      </c>
      <c r="D137" s="51">
        <v>1.08</v>
      </c>
      <c r="E137" s="73">
        <v>63.234999999999999</v>
      </c>
      <c r="F137" s="74">
        <f>E137*D137</f>
        <v>68.293800000000005</v>
      </c>
      <c r="J137" s="88"/>
    </row>
    <row r="138" spans="2:10">
      <c r="E138" s="74"/>
      <c r="F138" s="74"/>
    </row>
    <row r="139" spans="2:10">
      <c r="B139" s="59" t="s">
        <v>247</v>
      </c>
      <c r="C139" s="59"/>
      <c r="E139" s="74"/>
      <c r="F139" s="74"/>
    </row>
    <row r="140" spans="2:10">
      <c r="B140" s="77" t="s">
        <v>248</v>
      </c>
      <c r="D140" s="51">
        <f>D128</f>
        <v>0.36</v>
      </c>
      <c r="E140" s="89">
        <v>600</v>
      </c>
      <c r="F140" s="74">
        <f>D140*E140</f>
        <v>216</v>
      </c>
    </row>
    <row r="141" spans="2:10">
      <c r="E141" s="74"/>
      <c r="F141" s="74"/>
    </row>
    <row r="142" spans="2:10">
      <c r="B142" s="59" t="s">
        <v>249</v>
      </c>
      <c r="C142" s="59"/>
      <c r="E142" s="74"/>
      <c r="F142" s="74"/>
    </row>
    <row r="143" spans="2:10">
      <c r="B143" s="47" t="s">
        <v>250</v>
      </c>
      <c r="E143" s="74"/>
      <c r="F143" s="74"/>
    </row>
    <row r="144" spans="2:10">
      <c r="E144" s="74"/>
      <c r="F144" s="74"/>
    </row>
    <row r="145" spans="1:9">
      <c r="B145" s="47" t="str">
        <f>B78</f>
        <v>I.N. 247/ P N 102</v>
      </c>
      <c r="D145" s="51">
        <f>D128</f>
        <v>0.36</v>
      </c>
      <c r="E145" s="89">
        <f>E116</f>
        <v>43</v>
      </c>
      <c r="F145" s="74">
        <f>D145*E145</f>
        <v>15.479999999999999</v>
      </c>
    </row>
    <row r="146" spans="1:9">
      <c r="E146" s="84"/>
      <c r="F146" s="74"/>
    </row>
    <row r="147" spans="1:9">
      <c r="B147" s="59" t="s">
        <v>251</v>
      </c>
      <c r="E147" s="84"/>
      <c r="F147" s="74"/>
    </row>
    <row r="148" spans="1:9">
      <c r="E148" s="84"/>
      <c r="F148" s="74"/>
    </row>
    <row r="149" spans="1:9">
      <c r="B149" s="47" t="s">
        <v>252</v>
      </c>
      <c r="C149" s="90">
        <v>0</v>
      </c>
      <c r="D149" s="74">
        <f>I149</f>
        <v>5.1979999999999995</v>
      </c>
      <c r="E149" s="89">
        <v>0</v>
      </c>
      <c r="F149" s="74">
        <f>D149*E149*C149</f>
        <v>0</v>
      </c>
      <c r="G149" s="74">
        <v>4.5999999999999996</v>
      </c>
      <c r="H149" s="74">
        <v>1.1299999999999999</v>
      </c>
      <c r="I149" s="74">
        <f>G149*H149</f>
        <v>5.1979999999999995</v>
      </c>
    </row>
    <row r="150" spans="1:9">
      <c r="B150" s="47" t="s">
        <v>253</v>
      </c>
      <c r="E150" s="84"/>
      <c r="F150" s="74"/>
      <c r="I150" s="77" t="s">
        <v>254</v>
      </c>
    </row>
    <row r="151" spans="1:9">
      <c r="E151" s="84"/>
      <c r="F151" s="74"/>
    </row>
    <row r="152" spans="1:9">
      <c r="B152" s="803" t="s">
        <v>255</v>
      </c>
      <c r="C152" s="803"/>
      <c r="D152" s="803"/>
      <c r="E152" s="74"/>
      <c r="F152" s="74"/>
    </row>
    <row r="153" spans="1:9">
      <c r="B153" s="77" t="s">
        <v>256</v>
      </c>
      <c r="D153" s="51">
        <f>D128</f>
        <v>0.36</v>
      </c>
      <c r="E153" s="73">
        <v>100</v>
      </c>
      <c r="F153" s="74">
        <f>D153*E153</f>
        <v>36</v>
      </c>
    </row>
    <row r="154" spans="1:9">
      <c r="E154" s="74"/>
      <c r="F154" s="74"/>
    </row>
    <row r="155" spans="1:9">
      <c r="B155" s="47" t="s">
        <v>257</v>
      </c>
      <c r="E155" s="74"/>
      <c r="F155" s="74"/>
    </row>
    <row r="156" spans="1:9">
      <c r="A156" s="51" t="s">
        <v>168</v>
      </c>
      <c r="B156" s="47" t="s">
        <v>258</v>
      </c>
      <c r="E156" s="74"/>
      <c r="F156" s="74">
        <f>(F140+F153)*0.1</f>
        <v>25.200000000000003</v>
      </c>
    </row>
    <row r="157" spans="1:9">
      <c r="B157" s="78" t="s">
        <v>184</v>
      </c>
      <c r="C157" s="78"/>
      <c r="E157" s="74"/>
      <c r="F157" s="60">
        <f>SUM(F130:F156)</f>
        <v>1239.3738000000001</v>
      </c>
    </row>
    <row r="158" spans="1:9">
      <c r="B158" s="78"/>
      <c r="C158" s="78"/>
      <c r="E158" s="74"/>
      <c r="F158" s="60"/>
    </row>
    <row r="159" spans="1:9">
      <c r="B159" s="78" t="s">
        <v>259</v>
      </c>
      <c r="C159" s="78"/>
      <c r="F159" s="60">
        <f>F157/D128</f>
        <v>3442.7050000000004</v>
      </c>
    </row>
    <row r="160" spans="1:9">
      <c r="B160" s="91" t="s">
        <v>260</v>
      </c>
      <c r="C160" s="92">
        <v>15</v>
      </c>
      <c r="D160" s="74" t="s">
        <v>261</v>
      </c>
      <c r="E160" s="60">
        <f>D137/D128</f>
        <v>3.0000000000000004</v>
      </c>
      <c r="F160" s="47" t="s">
        <v>261</v>
      </c>
      <c r="G160" s="80">
        <f>D149/D128</f>
        <v>14.438888888888888</v>
      </c>
      <c r="H160" s="47" t="s">
        <v>46</v>
      </c>
      <c r="I160" s="93">
        <f>G160+E160+C160</f>
        <v>32.43888888888889</v>
      </c>
    </row>
    <row r="161" spans="1:9">
      <c r="B161" s="78"/>
      <c r="C161" s="78"/>
      <c r="F161" s="60"/>
    </row>
    <row r="162" spans="1:9">
      <c r="B162" s="78"/>
      <c r="C162" s="78"/>
      <c r="F162" s="60"/>
    </row>
    <row r="163" spans="1:9">
      <c r="A163" s="47" t="s">
        <v>262</v>
      </c>
      <c r="B163" s="47" t="s">
        <v>263</v>
      </c>
    </row>
    <row r="164" spans="1:9">
      <c r="B164" s="47" t="s">
        <v>264</v>
      </c>
      <c r="D164" s="51">
        <v>0.6</v>
      </c>
    </row>
    <row r="165" spans="1:9">
      <c r="B165" s="47" t="s">
        <v>265</v>
      </c>
      <c r="D165" s="74">
        <f>G202</f>
        <v>27</v>
      </c>
      <c r="E165" s="74">
        <f>E223</f>
        <v>63.234999999999999</v>
      </c>
      <c r="F165" s="51">
        <f>D165*E165</f>
        <v>1707.345</v>
      </c>
    </row>
    <row r="166" spans="1:9">
      <c r="B166" s="47" t="str">
        <f>B223</f>
        <v>Page No. I N 18 / P.N 13</v>
      </c>
    </row>
    <row r="168" spans="1:9">
      <c r="B168" s="47" t="s">
        <v>266</v>
      </c>
      <c r="D168" s="51">
        <v>0.6</v>
      </c>
      <c r="E168" s="74">
        <v>200</v>
      </c>
      <c r="F168" s="74">
        <f>D168*E168</f>
        <v>120</v>
      </c>
    </row>
    <row r="169" spans="1:9">
      <c r="B169" s="47" t="s">
        <v>267</v>
      </c>
      <c r="E169" s="74"/>
      <c r="F169" s="74">
        <v>50</v>
      </c>
    </row>
    <row r="170" spans="1:9">
      <c r="B170" s="47" t="s">
        <v>268</v>
      </c>
      <c r="D170" s="51">
        <v>0.6</v>
      </c>
      <c r="E170" s="73">
        <v>287</v>
      </c>
      <c r="F170" s="74">
        <f>D170*E170</f>
        <v>172.2</v>
      </c>
    </row>
    <row r="171" spans="1:9">
      <c r="B171" s="47" t="s">
        <v>269</v>
      </c>
      <c r="E171" s="74"/>
      <c r="F171" s="74"/>
    </row>
    <row r="172" spans="1:9">
      <c r="B172" s="47" t="s">
        <v>270</v>
      </c>
      <c r="E172" s="74"/>
      <c r="F172" s="74"/>
    </row>
    <row r="173" spans="1:9">
      <c r="B173" s="47" t="s">
        <v>271</v>
      </c>
      <c r="D173" s="51">
        <v>0.6</v>
      </c>
      <c r="E173" s="94">
        <f>E140</f>
        <v>600</v>
      </c>
      <c r="F173" s="74">
        <f>D173*E173</f>
        <v>360</v>
      </c>
    </row>
    <row r="174" spans="1:9">
      <c r="B174" s="47" t="str">
        <f>B229</f>
        <v xml:space="preserve">4 - Painting three coats </v>
      </c>
      <c r="D174" s="51">
        <v>0.6</v>
      </c>
      <c r="E174" s="74">
        <f>E230</f>
        <v>43</v>
      </c>
      <c r="F174" s="74">
        <f>D174*E174</f>
        <v>25.8</v>
      </c>
    </row>
    <row r="175" spans="1:9">
      <c r="B175" s="77" t="s">
        <v>109</v>
      </c>
      <c r="C175" s="77"/>
      <c r="F175" s="74">
        <f>SUM(F165:F174)</f>
        <v>2435.3450000000003</v>
      </c>
    </row>
    <row r="176" spans="1:9">
      <c r="B176" s="77" t="s">
        <v>272</v>
      </c>
      <c r="C176" s="77"/>
      <c r="F176" s="60">
        <f>F175/0.6</f>
        <v>4058.9083333333338</v>
      </c>
      <c r="H176" s="80">
        <f>D165/D164</f>
        <v>45</v>
      </c>
      <c r="I176" s="47" t="s">
        <v>254</v>
      </c>
    </row>
    <row r="177" spans="2:8">
      <c r="B177" s="77"/>
      <c r="C177" s="77"/>
      <c r="E177" s="51" t="s">
        <v>238</v>
      </c>
      <c r="F177" s="60">
        <f>ROUND(F176,0)</f>
        <v>4059</v>
      </c>
    </row>
    <row r="178" spans="2:8">
      <c r="B178" s="804"/>
      <c r="C178" s="804"/>
      <c r="D178" s="804"/>
      <c r="E178" s="804"/>
      <c r="F178" s="804"/>
      <c r="G178" s="804"/>
      <c r="H178" s="804"/>
    </row>
    <row r="179" spans="2:8">
      <c r="B179" s="47" t="s">
        <v>273</v>
      </c>
    </row>
    <row r="180" spans="2:8">
      <c r="B180" s="72" t="s">
        <v>274</v>
      </c>
      <c r="C180" s="77"/>
      <c r="D180" s="51">
        <v>1</v>
      </c>
      <c r="E180" s="51">
        <v>2</v>
      </c>
      <c r="F180" s="74">
        <v>0.15</v>
      </c>
      <c r="G180" s="80">
        <f>D180*E180*F180</f>
        <v>0.3</v>
      </c>
      <c r="H180" s="47" t="s">
        <v>275</v>
      </c>
    </row>
    <row r="181" spans="2:8">
      <c r="B181" s="72"/>
      <c r="C181" s="77"/>
      <c r="D181" s="51">
        <v>2</v>
      </c>
      <c r="E181" s="51">
        <v>2</v>
      </c>
      <c r="F181" s="74">
        <v>1</v>
      </c>
      <c r="G181" s="80">
        <f>D181*E181*F181</f>
        <v>4</v>
      </c>
    </row>
    <row r="182" spans="2:8">
      <c r="B182" s="72"/>
      <c r="D182" s="51">
        <v>2</v>
      </c>
      <c r="E182" s="51">
        <v>2</v>
      </c>
      <c r="F182" s="74">
        <v>0.3</v>
      </c>
      <c r="G182" s="80">
        <f>D182*E182*F182</f>
        <v>1.2</v>
      </c>
    </row>
    <row r="183" spans="2:8">
      <c r="B183" s="72" t="s">
        <v>276</v>
      </c>
      <c r="C183" s="77"/>
      <c r="E183" s="51" t="s">
        <v>21</v>
      </c>
      <c r="F183" s="74">
        <v>1.532</v>
      </c>
      <c r="G183" s="95">
        <f>SUM(G180:G182)</f>
        <v>5.5</v>
      </c>
    </row>
    <row r="184" spans="2:8">
      <c r="B184" s="72" t="s">
        <v>277</v>
      </c>
      <c r="C184" s="77"/>
      <c r="F184" s="74"/>
      <c r="G184" s="96">
        <f>G183*F183</f>
        <v>8.4260000000000002</v>
      </c>
    </row>
    <row r="185" spans="2:8">
      <c r="B185" s="72" t="s">
        <v>278</v>
      </c>
      <c r="C185" s="77"/>
      <c r="D185" s="51">
        <v>2</v>
      </c>
      <c r="E185" s="51">
        <v>2</v>
      </c>
      <c r="F185" s="74">
        <v>0.3</v>
      </c>
      <c r="G185" s="80">
        <f>D185*E185*F185</f>
        <v>1.2</v>
      </c>
    </row>
    <row r="186" spans="2:8">
      <c r="B186" s="72" t="s">
        <v>276</v>
      </c>
      <c r="C186" s="77"/>
      <c r="E186" s="51" t="s">
        <v>21</v>
      </c>
      <c r="F186" s="74">
        <v>0.88</v>
      </c>
      <c r="G186" s="95">
        <f>G185</f>
        <v>1.2</v>
      </c>
    </row>
    <row r="187" spans="2:8">
      <c r="B187" s="72" t="s">
        <v>277</v>
      </c>
      <c r="C187" s="77"/>
      <c r="F187" s="74"/>
      <c r="G187" s="96">
        <f>G186*F186</f>
        <v>1.056</v>
      </c>
    </row>
    <row r="188" spans="2:8">
      <c r="B188" s="72" t="s">
        <v>279</v>
      </c>
      <c r="C188" s="77"/>
      <c r="D188" s="51">
        <v>1</v>
      </c>
      <c r="E188" s="51">
        <v>11</v>
      </c>
      <c r="F188" s="74">
        <v>0.75</v>
      </c>
      <c r="G188" s="80">
        <f>D188*E188*F188</f>
        <v>8.25</v>
      </c>
    </row>
    <row r="189" spans="2:8">
      <c r="B189" s="72"/>
      <c r="C189" s="77"/>
      <c r="D189" s="51">
        <v>1</v>
      </c>
      <c r="E189" s="51">
        <v>6</v>
      </c>
      <c r="F189" s="74">
        <v>0.1</v>
      </c>
      <c r="G189" s="80">
        <f>D189*E189*F189</f>
        <v>0.60000000000000009</v>
      </c>
    </row>
    <row r="190" spans="2:8">
      <c r="B190" s="72" t="s">
        <v>280</v>
      </c>
      <c r="C190" s="77"/>
      <c r="D190" s="51">
        <v>1</v>
      </c>
      <c r="E190" s="51">
        <v>4</v>
      </c>
      <c r="F190" s="74">
        <v>0.15</v>
      </c>
      <c r="G190" s="80">
        <f>D190*E190*F190</f>
        <v>0.6</v>
      </c>
    </row>
    <row r="191" spans="2:8">
      <c r="B191" s="72" t="s">
        <v>281</v>
      </c>
      <c r="C191" s="77"/>
      <c r="D191" s="51">
        <v>1</v>
      </c>
      <c r="E191" s="51">
        <v>2</v>
      </c>
      <c r="F191" s="74">
        <v>1</v>
      </c>
      <c r="G191" s="80">
        <f>D191*E191*F191</f>
        <v>2</v>
      </c>
    </row>
    <row r="192" spans="2:8">
      <c r="B192" s="72" t="s">
        <v>276</v>
      </c>
      <c r="C192" s="77"/>
      <c r="E192" s="51" t="s">
        <v>21</v>
      </c>
      <c r="F192" s="74">
        <v>1.1299999999999999</v>
      </c>
      <c r="G192" s="95">
        <f>SUM(G188:G191)</f>
        <v>11.45</v>
      </c>
    </row>
    <row r="193" spans="1:9">
      <c r="B193" s="72" t="s">
        <v>277</v>
      </c>
      <c r="C193" s="77"/>
      <c r="F193" s="74"/>
      <c r="G193" s="96">
        <f>G192*F192</f>
        <v>12.938499999999998</v>
      </c>
    </row>
    <row r="194" spans="1:9">
      <c r="B194" s="72" t="s">
        <v>282</v>
      </c>
      <c r="C194" s="77"/>
      <c r="D194" s="51">
        <v>1</v>
      </c>
      <c r="E194" s="51">
        <v>6</v>
      </c>
      <c r="F194" s="74">
        <v>1</v>
      </c>
      <c r="G194" s="80">
        <f>D194*E194*F194</f>
        <v>6</v>
      </c>
    </row>
    <row r="195" spans="1:9">
      <c r="B195" s="72"/>
      <c r="D195" s="51">
        <v>1</v>
      </c>
      <c r="E195" s="51">
        <v>2</v>
      </c>
      <c r="F195" s="74">
        <v>0.75</v>
      </c>
      <c r="G195" s="80">
        <f>D195*E195*F195</f>
        <v>1.5</v>
      </c>
    </row>
    <row r="196" spans="1:9">
      <c r="B196" s="72" t="s">
        <v>276</v>
      </c>
      <c r="C196" s="77"/>
      <c r="E196" s="51" t="s">
        <v>21</v>
      </c>
      <c r="F196" s="74">
        <v>0.45</v>
      </c>
      <c r="G196" s="95">
        <f>SUM(G194:G195)</f>
        <v>7.5</v>
      </c>
    </row>
    <row r="197" spans="1:9">
      <c r="B197" s="72" t="s">
        <v>277</v>
      </c>
      <c r="C197" s="77"/>
      <c r="F197" s="74"/>
      <c r="G197" s="96">
        <f>G196*F196</f>
        <v>3.375</v>
      </c>
    </row>
    <row r="198" spans="1:9">
      <c r="B198" s="72"/>
      <c r="F198" s="74"/>
      <c r="G198" s="80"/>
    </row>
    <row r="199" spans="1:9">
      <c r="B199" s="72" t="s">
        <v>283</v>
      </c>
      <c r="C199" s="77"/>
      <c r="F199" s="74"/>
      <c r="G199" s="80">
        <f>G184+G187+G193+G197</f>
        <v>25.795499999999997</v>
      </c>
    </row>
    <row r="200" spans="1:9">
      <c r="B200" s="72" t="s">
        <v>284</v>
      </c>
      <c r="C200" s="97"/>
      <c r="F200" s="98">
        <v>0.05</v>
      </c>
      <c r="G200" s="80">
        <f>G199*F200</f>
        <v>1.2897749999999999</v>
      </c>
    </row>
    <row r="201" spans="1:9">
      <c r="B201" s="72"/>
      <c r="C201" s="77"/>
      <c r="F201" s="74" t="s">
        <v>51</v>
      </c>
      <c r="G201" s="80">
        <f>SUM(G199:G200)</f>
        <v>27.085274999999996</v>
      </c>
      <c r="H201" s="47" t="s">
        <v>140</v>
      </c>
    </row>
    <row r="202" spans="1:9">
      <c r="B202" s="78"/>
      <c r="C202" s="78"/>
      <c r="F202" s="60" t="s">
        <v>238</v>
      </c>
      <c r="G202" s="80">
        <f>ROUND(G201,0)</f>
        <v>27</v>
      </c>
      <c r="H202" s="47" t="s">
        <v>140</v>
      </c>
    </row>
    <row r="203" spans="1:9">
      <c r="A203" s="47" t="s">
        <v>285</v>
      </c>
      <c r="B203" s="47" t="s">
        <v>59</v>
      </c>
    </row>
    <row r="205" spans="1:9">
      <c r="B205" s="47" t="s">
        <v>88</v>
      </c>
      <c r="D205" s="74">
        <v>1</v>
      </c>
      <c r="E205" s="74">
        <v>0.6</v>
      </c>
      <c r="F205" s="74">
        <f>E205*D205</f>
        <v>0.6</v>
      </c>
      <c r="G205" s="47" t="s">
        <v>25</v>
      </c>
    </row>
    <row r="206" spans="1:9">
      <c r="B206" s="47" t="s">
        <v>89</v>
      </c>
      <c r="G206" s="77"/>
    </row>
    <row r="207" spans="1:9">
      <c r="B207" s="47" t="s">
        <v>286</v>
      </c>
      <c r="D207" s="51">
        <v>0.66</v>
      </c>
      <c r="E207" s="73">
        <f>I207</f>
        <v>377.4</v>
      </c>
      <c r="F207" s="74">
        <f>D207*E207</f>
        <v>249.084</v>
      </c>
      <c r="G207" s="99">
        <v>5.55</v>
      </c>
      <c r="H207" s="99">
        <v>68</v>
      </c>
      <c r="I207" s="99">
        <f>G207*H207</f>
        <v>377.4</v>
      </c>
    </row>
    <row r="208" spans="1:9">
      <c r="B208" s="47" t="s">
        <v>287</v>
      </c>
      <c r="E208" s="100"/>
      <c r="F208" s="74">
        <v>0</v>
      </c>
    </row>
    <row r="209" spans="1:6">
      <c r="B209" s="47" t="s">
        <v>90</v>
      </c>
      <c r="D209" s="51">
        <v>1</v>
      </c>
      <c r="E209" s="101">
        <v>5</v>
      </c>
      <c r="F209" s="74">
        <f>D209*E209</f>
        <v>5</v>
      </c>
    </row>
    <row r="210" spans="1:6">
      <c r="E210" s="101"/>
      <c r="F210" s="74"/>
    </row>
    <row r="211" spans="1:6">
      <c r="B211" s="47" t="s">
        <v>60</v>
      </c>
      <c r="D211" s="51">
        <v>1</v>
      </c>
      <c r="E211" s="101">
        <v>25</v>
      </c>
      <c r="F211" s="74">
        <f>D211*E211</f>
        <v>25</v>
      </c>
    </row>
    <row r="212" spans="1:6">
      <c r="E212" s="101"/>
      <c r="F212" s="83"/>
    </row>
    <row r="213" spans="1:6">
      <c r="B213" s="47" t="s">
        <v>8</v>
      </c>
      <c r="D213" s="51">
        <v>1</v>
      </c>
      <c r="E213" s="101">
        <v>15</v>
      </c>
      <c r="F213" s="83">
        <f>D213*E213</f>
        <v>15</v>
      </c>
    </row>
    <row r="214" spans="1:6">
      <c r="D214" s="51" t="s">
        <v>9</v>
      </c>
      <c r="E214" s="51" t="s">
        <v>10</v>
      </c>
      <c r="F214" s="74">
        <f>SUM(F207:F213)</f>
        <v>294.084</v>
      </c>
    </row>
    <row r="215" spans="1:6">
      <c r="B215" s="47" t="s">
        <v>11</v>
      </c>
      <c r="F215" s="83">
        <f>F214*0.1</f>
        <v>29.4084</v>
      </c>
    </row>
    <row r="216" spans="1:6">
      <c r="B216" s="78" t="s">
        <v>12</v>
      </c>
      <c r="C216" s="78"/>
      <c r="D216" s="79"/>
      <c r="E216" s="51" t="s">
        <v>13</v>
      </c>
      <c r="F216" s="74">
        <f>SUM(F214:F215)</f>
        <v>323.49239999999998</v>
      </c>
    </row>
    <row r="217" spans="1:6">
      <c r="B217" s="59" t="s">
        <v>288</v>
      </c>
      <c r="C217" s="59"/>
      <c r="D217" s="79"/>
      <c r="E217" s="79" t="s">
        <v>14</v>
      </c>
      <c r="F217" s="60">
        <f>F216/F205</f>
        <v>539.154</v>
      </c>
    </row>
    <row r="218" spans="1:6">
      <c r="E218" s="51" t="s">
        <v>16</v>
      </c>
      <c r="F218" s="60">
        <f>ROUND(F217,0)</f>
        <v>539</v>
      </c>
    </row>
    <row r="219" spans="1:6" ht="9.75" customHeight="1"/>
    <row r="220" spans="1:6">
      <c r="A220" s="47" t="s">
        <v>289</v>
      </c>
      <c r="B220" s="47" t="s">
        <v>290</v>
      </c>
    </row>
    <row r="221" spans="1:6">
      <c r="B221" s="47" t="s">
        <v>50</v>
      </c>
    </row>
    <row r="222" spans="1:6">
      <c r="B222" s="47" t="s">
        <v>291</v>
      </c>
    </row>
    <row r="223" spans="1:6">
      <c r="B223" s="47" t="str">
        <f>B137</f>
        <v>Page No. I N 18 / P.N 13</v>
      </c>
      <c r="D223" s="51">
        <v>1.9</v>
      </c>
      <c r="E223" s="102">
        <f>E137</f>
        <v>63.234999999999999</v>
      </c>
      <c r="F223" s="51">
        <f>D223*E223</f>
        <v>120.14649999999999</v>
      </c>
    </row>
    <row r="224" spans="1:6" ht="10.5" customHeight="1">
      <c r="B224" s="103"/>
      <c r="C224" s="103"/>
      <c r="E224" s="74"/>
    </row>
    <row r="225" spans="1:6">
      <c r="B225" s="47" t="s">
        <v>292</v>
      </c>
      <c r="D225" s="51">
        <v>1</v>
      </c>
      <c r="E225" s="85">
        <v>15</v>
      </c>
      <c r="F225" s="74">
        <f>D225*E225</f>
        <v>15</v>
      </c>
    </row>
    <row r="226" spans="1:6">
      <c r="E226" s="74"/>
      <c r="F226" s="74"/>
    </row>
    <row r="227" spans="1:6">
      <c r="B227" s="47" t="s">
        <v>293</v>
      </c>
      <c r="D227" s="51">
        <v>1</v>
      </c>
      <c r="E227" s="85">
        <v>15</v>
      </c>
      <c r="F227" s="74">
        <f>D227*E227</f>
        <v>15</v>
      </c>
    </row>
    <row r="228" spans="1:6">
      <c r="E228" s="74"/>
    </row>
    <row r="229" spans="1:6">
      <c r="B229" s="47" t="s">
        <v>294</v>
      </c>
      <c r="E229" s="74"/>
    </row>
    <row r="230" spans="1:6">
      <c r="B230" s="47" t="str">
        <f>B145</f>
        <v>I.N. 247/ P N 102</v>
      </c>
      <c r="D230" s="51">
        <v>9.1999999999999998E-2</v>
      </c>
      <c r="E230" s="74">
        <f>E77</f>
        <v>43</v>
      </c>
      <c r="F230" s="74">
        <f>D230*E230</f>
        <v>3.956</v>
      </c>
    </row>
    <row r="231" spans="1:6">
      <c r="D231" s="51" t="s">
        <v>9</v>
      </c>
      <c r="E231" s="51" t="s">
        <v>10</v>
      </c>
      <c r="F231" s="74">
        <f>SUM(F223:F230)</f>
        <v>154.10249999999999</v>
      </c>
    </row>
    <row r="232" spans="1:6">
      <c r="B232" s="47" t="s">
        <v>11</v>
      </c>
      <c r="F232" s="74">
        <f>F231*0.1</f>
        <v>15.41025</v>
      </c>
    </row>
    <row r="234" spans="1:6">
      <c r="B234" s="78" t="s">
        <v>12</v>
      </c>
      <c r="C234" s="78"/>
      <c r="D234" s="79"/>
      <c r="E234" s="51" t="s">
        <v>13</v>
      </c>
      <c r="F234" s="74">
        <f>SUM(F231:F233)</f>
        <v>169.51274999999998</v>
      </c>
    </row>
    <row r="235" spans="1:6">
      <c r="B235" s="59" t="s">
        <v>27</v>
      </c>
      <c r="C235" s="59"/>
      <c r="D235" s="79"/>
      <c r="E235" s="79" t="s">
        <v>14</v>
      </c>
      <c r="F235" s="60">
        <f>ROUND(F234,0)</f>
        <v>170</v>
      </c>
    </row>
    <row r="236" spans="1:6">
      <c r="B236" s="59"/>
      <c r="C236" s="59"/>
      <c r="D236" s="79"/>
      <c r="E236" s="79"/>
      <c r="F236" s="60"/>
    </row>
    <row r="237" spans="1:6">
      <c r="A237" s="47" t="s">
        <v>28</v>
      </c>
      <c r="B237" s="47" t="s">
        <v>29</v>
      </c>
    </row>
    <row r="238" spans="1:6">
      <c r="B238" s="51" t="s">
        <v>50</v>
      </c>
      <c r="C238" s="51"/>
    </row>
    <row r="239" spans="1:6">
      <c r="B239" s="47" t="s">
        <v>295</v>
      </c>
    </row>
    <row r="240" spans="1:6">
      <c r="B240" s="72" t="s">
        <v>30</v>
      </c>
      <c r="C240" s="72"/>
    </row>
    <row r="241" spans="2:6">
      <c r="B241" s="72" t="s">
        <v>31</v>
      </c>
      <c r="C241" s="72"/>
    </row>
    <row r="242" spans="2:6">
      <c r="B242" s="72" t="s">
        <v>32</v>
      </c>
      <c r="C242" s="72"/>
    </row>
    <row r="243" spans="2:6">
      <c r="B243" s="72" t="s">
        <v>33</v>
      </c>
      <c r="C243" s="72"/>
    </row>
    <row r="244" spans="2:6">
      <c r="B244" s="77" t="s">
        <v>34</v>
      </c>
      <c r="C244" s="77"/>
      <c r="D244" s="51">
        <v>0.115</v>
      </c>
      <c r="E244" s="74">
        <f>[1]EWH1!M789</f>
        <v>2602.5554999999999</v>
      </c>
      <c r="F244" s="74">
        <f>D244*E244</f>
        <v>299.2938825</v>
      </c>
    </row>
    <row r="245" spans="2:6">
      <c r="B245" s="72" t="s">
        <v>296</v>
      </c>
      <c r="C245" s="77"/>
    </row>
    <row r="246" spans="2:6">
      <c r="B246" s="77" t="s">
        <v>297</v>
      </c>
      <c r="C246" s="77"/>
      <c r="D246" s="51">
        <f>1.16*0.115</f>
        <v>0.13339999999999999</v>
      </c>
      <c r="E246" s="81">
        <f>[1]MRdiff!F22</f>
        <v>0</v>
      </c>
      <c r="F246" s="74">
        <f>D246*E246</f>
        <v>0</v>
      </c>
    </row>
    <row r="247" spans="2:6">
      <c r="B247" s="77"/>
      <c r="C247" s="77"/>
    </row>
    <row r="248" spans="2:6">
      <c r="B248" s="47" t="s">
        <v>35</v>
      </c>
    </row>
    <row r="249" spans="2:6">
      <c r="B249" s="77"/>
      <c r="C249" s="77"/>
    </row>
    <row r="250" spans="2:6">
      <c r="B250" s="77" t="s">
        <v>36</v>
      </c>
      <c r="C250" s="77"/>
    </row>
    <row r="251" spans="2:6">
      <c r="B251" s="77" t="s">
        <v>22</v>
      </c>
      <c r="C251" s="77"/>
      <c r="D251" s="51">
        <v>1.02</v>
      </c>
      <c r="E251" s="74">
        <f>[1]EWH1!M1050</f>
        <v>184.20912000000001</v>
      </c>
      <c r="F251" s="74">
        <f>D251*E251</f>
        <v>187.89330240000001</v>
      </c>
    </row>
    <row r="252" spans="2:6">
      <c r="F252" s="74"/>
    </row>
    <row r="253" spans="2:6">
      <c r="B253" s="47" t="s">
        <v>23</v>
      </c>
      <c r="F253" s="74"/>
    </row>
    <row r="254" spans="2:6">
      <c r="B254" s="77" t="s">
        <v>24</v>
      </c>
      <c r="C254" s="77"/>
      <c r="F254" s="74"/>
    </row>
    <row r="255" spans="2:6">
      <c r="B255" s="77" t="s">
        <v>17</v>
      </c>
      <c r="C255" s="77"/>
      <c r="D255" s="51">
        <v>0.5625</v>
      </c>
      <c r="E255" s="74">
        <f>E251</f>
        <v>184.20912000000001</v>
      </c>
      <c r="F255" s="74">
        <f>D255*E255</f>
        <v>103.61763000000001</v>
      </c>
    </row>
    <row r="256" spans="2:6">
      <c r="B256" s="77"/>
      <c r="C256" s="77"/>
      <c r="F256" s="74"/>
    </row>
    <row r="257" spans="1:7">
      <c r="B257" s="78" t="s">
        <v>12</v>
      </c>
      <c r="C257" s="78"/>
      <c r="F257" s="74">
        <f>SUM(F244:F256)</f>
        <v>590.8048149</v>
      </c>
    </row>
    <row r="258" spans="1:7">
      <c r="B258" s="59" t="s">
        <v>27</v>
      </c>
      <c r="C258" s="59"/>
      <c r="D258" s="79"/>
      <c r="E258" s="79"/>
      <c r="F258" s="60">
        <f>ROUND(F257,0)</f>
        <v>591</v>
      </c>
    </row>
    <row r="259" spans="1:7">
      <c r="B259" s="59"/>
      <c r="C259" s="59"/>
      <c r="D259" s="79"/>
      <c r="E259" s="79"/>
      <c r="F259" s="60"/>
    </row>
    <row r="260" spans="1:7">
      <c r="A260" s="47" t="s">
        <v>298</v>
      </c>
      <c r="B260" s="47" t="s">
        <v>299</v>
      </c>
    </row>
    <row r="261" spans="1:7">
      <c r="B261" s="51" t="s">
        <v>300</v>
      </c>
      <c r="C261" s="51"/>
    </row>
    <row r="262" spans="1:7">
      <c r="B262" s="47" t="s">
        <v>301</v>
      </c>
      <c r="D262" s="51">
        <v>1</v>
      </c>
      <c r="E262" s="74">
        <v>106</v>
      </c>
      <c r="F262" s="74">
        <f>D262*E262</f>
        <v>106</v>
      </c>
    </row>
    <row r="263" spans="1:7">
      <c r="B263" s="74" t="s">
        <v>134</v>
      </c>
      <c r="C263" s="74"/>
      <c r="D263" s="51">
        <v>1</v>
      </c>
      <c r="E263" s="74">
        <f>E13</f>
        <v>70.67</v>
      </c>
      <c r="F263" s="74">
        <f>D263*E263</f>
        <v>70.67</v>
      </c>
    </row>
    <row r="264" spans="1:7">
      <c r="B264" s="47" t="s">
        <v>302</v>
      </c>
      <c r="D264" s="51">
        <v>1</v>
      </c>
      <c r="E264" s="74">
        <f>[1]MRdiff!N16</f>
        <v>268</v>
      </c>
      <c r="F264" s="74">
        <f>D264*E264</f>
        <v>268</v>
      </c>
    </row>
    <row r="265" spans="1:7">
      <c r="B265" s="47" t="s">
        <v>303</v>
      </c>
      <c r="D265" s="51">
        <v>1</v>
      </c>
      <c r="E265" s="74">
        <v>21.5</v>
      </c>
      <c r="F265" s="74">
        <f>D265*E265</f>
        <v>21.5</v>
      </c>
    </row>
    <row r="266" spans="1:7">
      <c r="B266" s="77" t="s">
        <v>177</v>
      </c>
      <c r="C266" s="77"/>
      <c r="F266" s="74">
        <f>SUM(F262:F265)</f>
        <v>466.17</v>
      </c>
    </row>
    <row r="267" spans="1:7">
      <c r="B267" s="47" t="s">
        <v>304</v>
      </c>
      <c r="F267" s="74">
        <f>F266*0.32</f>
        <v>149.17440000000002</v>
      </c>
    </row>
    <row r="268" spans="1:7">
      <c r="B268" s="77" t="s">
        <v>305</v>
      </c>
      <c r="C268" s="77"/>
      <c r="F268" s="74">
        <f>SUM(F266:F267)</f>
        <v>615.34440000000006</v>
      </c>
    </row>
    <row r="269" spans="1:7">
      <c r="B269" s="59" t="s">
        <v>306</v>
      </c>
    </row>
    <row r="270" spans="1:7">
      <c r="B270" s="47" t="s">
        <v>307</v>
      </c>
      <c r="D270" s="51">
        <v>1.32</v>
      </c>
      <c r="E270" s="73">
        <v>14</v>
      </c>
      <c r="F270" s="74">
        <f>D270*E270</f>
        <v>18.48</v>
      </c>
    </row>
    <row r="271" spans="1:7">
      <c r="B271" s="77" t="s">
        <v>182</v>
      </c>
      <c r="C271" s="77"/>
      <c r="F271" s="74">
        <f>F268-F270</f>
        <v>596.86440000000005</v>
      </c>
    </row>
    <row r="272" spans="1:7">
      <c r="B272" s="59" t="s">
        <v>308</v>
      </c>
      <c r="C272" s="59"/>
      <c r="F272" s="74">
        <f>F271</f>
        <v>596.86440000000005</v>
      </c>
      <c r="G272" s="80">
        <f>F272*0.65</f>
        <v>387.96186000000006</v>
      </c>
    </row>
    <row r="273" spans="2:7">
      <c r="B273" s="59"/>
      <c r="C273" s="59"/>
      <c r="F273" s="74"/>
      <c r="G273" s="80"/>
    </row>
    <row r="274" spans="2:7">
      <c r="B274" s="51" t="s">
        <v>309</v>
      </c>
      <c r="C274" s="51"/>
      <c r="G274" s="80"/>
    </row>
    <row r="275" spans="2:7">
      <c r="B275" s="47" t="s">
        <v>310</v>
      </c>
      <c r="D275" s="51">
        <v>1</v>
      </c>
      <c r="E275" s="74">
        <v>136</v>
      </c>
      <c r="F275" s="74">
        <f>D275*E275</f>
        <v>136</v>
      </c>
      <c r="G275" s="80"/>
    </row>
    <row r="276" spans="2:7">
      <c r="B276" s="74" t="s">
        <v>134</v>
      </c>
      <c r="C276" s="74"/>
      <c r="D276" s="51">
        <v>1</v>
      </c>
      <c r="E276" s="74">
        <f>E263</f>
        <v>70.67</v>
      </c>
      <c r="F276" s="74">
        <f>D276*E276</f>
        <v>70.67</v>
      </c>
      <c r="G276" s="80"/>
    </row>
    <row r="277" spans="2:7">
      <c r="B277" s="47" t="s">
        <v>311</v>
      </c>
      <c r="D277" s="51">
        <v>1</v>
      </c>
      <c r="E277" s="74">
        <f>E264</f>
        <v>268</v>
      </c>
      <c r="F277" s="74">
        <f>D277*E277</f>
        <v>268</v>
      </c>
      <c r="G277" s="80"/>
    </row>
    <row r="278" spans="2:7">
      <c r="B278" s="47" t="s">
        <v>312</v>
      </c>
      <c r="D278" s="51">
        <v>1</v>
      </c>
      <c r="E278" s="74">
        <v>20</v>
      </c>
      <c r="F278" s="74">
        <f>D278*E278</f>
        <v>20</v>
      </c>
      <c r="G278" s="80"/>
    </row>
    <row r="279" spans="2:7">
      <c r="B279" s="77" t="s">
        <v>177</v>
      </c>
      <c r="C279" s="77"/>
      <c r="F279" s="74">
        <f>SUM(F275:F278)</f>
        <v>494.67</v>
      </c>
      <c r="G279" s="80"/>
    </row>
    <row r="280" spans="2:7">
      <c r="B280" s="47" t="s">
        <v>304</v>
      </c>
      <c r="F280" s="74">
        <f>F279*0.32</f>
        <v>158.2944</v>
      </c>
      <c r="G280" s="80"/>
    </row>
    <row r="281" spans="2:7">
      <c r="B281" s="77" t="s">
        <v>305</v>
      </c>
      <c r="C281" s="77"/>
      <c r="F281" s="74">
        <f>SUM(F279:F280)</f>
        <v>652.96440000000007</v>
      </c>
      <c r="G281" s="80"/>
    </row>
    <row r="282" spans="2:7">
      <c r="B282" s="47" t="s">
        <v>306</v>
      </c>
      <c r="G282" s="80"/>
    </row>
    <row r="283" spans="2:7">
      <c r="B283" s="47" t="str">
        <f>B270</f>
        <v>I N 7 / P N 498</v>
      </c>
      <c r="D283" s="51">
        <v>1.32</v>
      </c>
      <c r="E283" s="73">
        <f>E270</f>
        <v>14</v>
      </c>
      <c r="F283" s="74">
        <f>D283*E283</f>
        <v>18.48</v>
      </c>
      <c r="G283" s="80"/>
    </row>
    <row r="284" spans="2:7">
      <c r="B284" s="77" t="s">
        <v>182</v>
      </c>
      <c r="C284" s="77"/>
      <c r="F284" s="74">
        <f>F281-F283</f>
        <v>634.48440000000005</v>
      </c>
      <c r="G284" s="80"/>
    </row>
    <row r="285" spans="2:7">
      <c r="B285" s="59" t="s">
        <v>308</v>
      </c>
      <c r="C285" s="59"/>
      <c r="F285" s="74">
        <f>F284</f>
        <v>634.48440000000005</v>
      </c>
      <c r="G285" s="80">
        <f>F285*0.35</f>
        <v>222.06954000000002</v>
      </c>
    </row>
    <row r="286" spans="2:7">
      <c r="G286" s="80">
        <f>SUM(G272:G285)</f>
        <v>610.03140000000008</v>
      </c>
    </row>
    <row r="287" spans="2:7">
      <c r="G287" s="80"/>
    </row>
    <row r="288" spans="2:7">
      <c r="B288" s="78" t="s">
        <v>313</v>
      </c>
      <c r="C288" s="78"/>
      <c r="G288" s="104">
        <f>ROUND(G286,2)</f>
        <v>610.03</v>
      </c>
    </row>
    <row r="290" spans="1:9">
      <c r="A290" s="47" t="s">
        <v>314</v>
      </c>
      <c r="B290" s="47" t="s">
        <v>315</v>
      </c>
    </row>
    <row r="291" spans="1:9">
      <c r="B291" s="47" t="s">
        <v>316</v>
      </c>
    </row>
    <row r="293" spans="1:9">
      <c r="B293" s="51" t="s">
        <v>317</v>
      </c>
      <c r="C293" s="51"/>
    </row>
    <row r="294" spans="1:9">
      <c r="B294" s="47" t="s">
        <v>318</v>
      </c>
      <c r="D294" s="74">
        <v>1</v>
      </c>
      <c r="E294" s="81">
        <v>60</v>
      </c>
      <c r="F294" s="74">
        <f>D294*E294</f>
        <v>60</v>
      </c>
    </row>
    <row r="295" spans="1:9">
      <c r="F295" s="74"/>
    </row>
    <row r="296" spans="1:9">
      <c r="B296" s="47" t="s">
        <v>319</v>
      </c>
      <c r="D296" s="74">
        <v>1</v>
      </c>
      <c r="E296" s="74">
        <f>I296</f>
        <v>0.66886723988589125</v>
      </c>
      <c r="F296" s="74">
        <f>D296*E296</f>
        <v>0.66886723988589125</v>
      </c>
      <c r="G296" s="82">
        <v>1000</v>
      </c>
      <c r="H296" s="47">
        <f>[1]BS1!N14</f>
        <v>1495.0650000000001</v>
      </c>
      <c r="I296" s="80">
        <f>G296/H296</f>
        <v>0.66886723988589125</v>
      </c>
    </row>
    <row r="297" spans="1:9">
      <c r="A297" s="47" t="s">
        <v>320</v>
      </c>
      <c r="E297" s="74"/>
      <c r="F297" s="74"/>
      <c r="H297" s="96"/>
    </row>
    <row r="298" spans="1:9">
      <c r="E298" s="74"/>
      <c r="F298" s="74"/>
      <c r="H298" s="96"/>
    </row>
    <row r="299" spans="1:9">
      <c r="B299" s="47" t="s">
        <v>321</v>
      </c>
      <c r="D299" s="51">
        <v>1</v>
      </c>
      <c r="E299" s="74">
        <f>I299/H296</f>
        <v>6.6886723988589125</v>
      </c>
      <c r="F299" s="74">
        <f>D299*E299</f>
        <v>6.6886723988589125</v>
      </c>
      <c r="G299" s="47">
        <v>5</v>
      </c>
      <c r="H299" s="96">
        <v>2000</v>
      </c>
      <c r="I299" s="47">
        <f>H299*G299</f>
        <v>10000</v>
      </c>
    </row>
    <row r="300" spans="1:9">
      <c r="B300" s="77" t="s">
        <v>109</v>
      </c>
      <c r="C300" s="77"/>
      <c r="F300" s="74">
        <f>SUM(F294:F299)</f>
        <v>67.357539638744811</v>
      </c>
      <c r="H300" s="88"/>
    </row>
    <row r="301" spans="1:9">
      <c r="B301" s="72" t="s">
        <v>322</v>
      </c>
      <c r="C301" s="72"/>
      <c r="D301" s="105">
        <v>1</v>
      </c>
      <c r="E301" s="106">
        <f>I301/H296</f>
        <v>2.675468959543565</v>
      </c>
      <c r="F301" s="74">
        <f>D301*E301</f>
        <v>2.675468959543565</v>
      </c>
      <c r="G301" s="88">
        <f>5*20</f>
        <v>100</v>
      </c>
      <c r="H301" s="96">
        <v>40</v>
      </c>
      <c r="I301" s="47">
        <f>G301*H301</f>
        <v>4000</v>
      </c>
    </row>
    <row r="302" spans="1:9">
      <c r="B302" s="47" t="s">
        <v>323</v>
      </c>
      <c r="F302" s="74">
        <f>(F300+F301)*0.1</f>
        <v>7.0033008598288378</v>
      </c>
    </row>
    <row r="303" spans="1:9">
      <c r="F303" s="74"/>
    </row>
    <row r="304" spans="1:9">
      <c r="B304" s="77" t="s">
        <v>305</v>
      </c>
      <c r="C304" s="77"/>
      <c r="F304" s="74">
        <f>SUM(F300:F303)</f>
        <v>77.036309458117216</v>
      </c>
    </row>
    <row r="305" spans="1:9">
      <c r="F305" s="74"/>
    </row>
    <row r="306" spans="1:9">
      <c r="B306" s="59" t="s">
        <v>324</v>
      </c>
      <c r="C306" s="59"/>
      <c r="F306" s="60">
        <f>ROUND(F304,2)</f>
        <v>77.040000000000006</v>
      </c>
      <c r="G306" s="80"/>
    </row>
    <row r="307" spans="1:9">
      <c r="A307" s="47" t="s">
        <v>325</v>
      </c>
      <c r="B307" s="47" t="s">
        <v>326</v>
      </c>
    </row>
    <row r="309" spans="1:9">
      <c r="B309" s="72" t="s">
        <v>327</v>
      </c>
      <c r="C309" s="51"/>
    </row>
    <row r="310" spans="1:9">
      <c r="B310" s="47" t="s">
        <v>328</v>
      </c>
      <c r="D310" s="51">
        <v>1</v>
      </c>
      <c r="E310" s="74">
        <v>35</v>
      </c>
      <c r="F310" s="74">
        <f>D310*E310</f>
        <v>35</v>
      </c>
      <c r="G310" s="80"/>
      <c r="H310" s="80"/>
      <c r="I310" s="80"/>
    </row>
    <row r="311" spans="1:9">
      <c r="B311" s="47" t="s">
        <v>329</v>
      </c>
      <c r="D311" s="51">
        <v>1</v>
      </c>
      <c r="E311" s="74">
        <f>I311/H296</f>
        <v>2.675468959543565</v>
      </c>
      <c r="F311" s="74">
        <f>D311*E311</f>
        <v>2.675468959543565</v>
      </c>
      <c r="G311" s="47">
        <v>2</v>
      </c>
      <c r="H311" s="80">
        <v>2000</v>
      </c>
      <c r="I311" s="47">
        <f>H311*G311</f>
        <v>4000</v>
      </c>
    </row>
    <row r="312" spans="1:9">
      <c r="B312" s="47" t="s">
        <v>330</v>
      </c>
      <c r="D312" s="51">
        <v>1</v>
      </c>
      <c r="E312" s="94">
        <f>I312/H296</f>
        <v>1.070187583817426</v>
      </c>
      <c r="F312" s="74">
        <f>D312*E312</f>
        <v>1.070187583817426</v>
      </c>
      <c r="G312" s="88">
        <f>2*20</f>
        <v>40</v>
      </c>
      <c r="H312" s="96">
        <v>40</v>
      </c>
      <c r="I312" s="47">
        <f>G312*H312</f>
        <v>1600</v>
      </c>
    </row>
    <row r="313" spans="1:9">
      <c r="B313" s="47" t="s">
        <v>331</v>
      </c>
      <c r="F313" s="74">
        <f>(F310+F311+F312)*0.1</f>
        <v>3.8745656543360996</v>
      </c>
    </row>
    <row r="314" spans="1:9">
      <c r="B314" s="77" t="s">
        <v>305</v>
      </c>
      <c r="C314" s="77"/>
      <c r="F314" s="74">
        <f>SUM(F310:F313)</f>
        <v>42.620222197697096</v>
      </c>
    </row>
    <row r="315" spans="1:9">
      <c r="F315" s="74"/>
    </row>
    <row r="316" spans="1:9">
      <c r="B316" s="59" t="s">
        <v>332</v>
      </c>
      <c r="C316" s="59"/>
      <c r="F316" s="60">
        <f>F314</f>
        <v>42.620222197697096</v>
      </c>
    </row>
    <row r="318" spans="1:9">
      <c r="A318" s="47" t="s">
        <v>333</v>
      </c>
      <c r="B318" s="47" t="s">
        <v>334</v>
      </c>
    </row>
    <row r="319" spans="1:9">
      <c r="B319" s="47" t="s">
        <v>18</v>
      </c>
    </row>
    <row r="320" spans="1:9">
      <c r="B320" s="51" t="s">
        <v>317</v>
      </c>
      <c r="C320" s="51"/>
    </row>
    <row r="322" spans="1:6">
      <c r="B322" s="47" t="s">
        <v>19</v>
      </c>
      <c r="D322" s="51">
        <v>3</v>
      </c>
      <c r="E322" s="51">
        <v>55</v>
      </c>
      <c r="F322" s="74">
        <f>D322*E322</f>
        <v>165</v>
      </c>
    </row>
    <row r="323" spans="1:6">
      <c r="F323" s="74"/>
    </row>
    <row r="324" spans="1:6">
      <c r="B324" s="47" t="s">
        <v>20</v>
      </c>
      <c r="D324" s="51">
        <v>1</v>
      </c>
      <c r="E324" s="51">
        <v>15</v>
      </c>
      <c r="F324" s="74">
        <f>D324*E324</f>
        <v>15</v>
      </c>
    </row>
    <row r="325" spans="1:6">
      <c r="F325" s="74" t="s">
        <v>53</v>
      </c>
    </row>
    <row r="326" spans="1:6">
      <c r="B326" s="77" t="s">
        <v>109</v>
      </c>
      <c r="C326" s="77"/>
      <c r="F326" s="74">
        <f>SUM(F322:F324)</f>
        <v>180</v>
      </c>
    </row>
    <row r="327" spans="1:6">
      <c r="B327" s="77"/>
      <c r="C327" s="77"/>
      <c r="F327" s="74"/>
    </row>
    <row r="328" spans="1:6">
      <c r="B328" s="47" t="s">
        <v>335</v>
      </c>
      <c r="F328" s="74">
        <f>F326*0.1</f>
        <v>18</v>
      </c>
    </row>
    <row r="329" spans="1:6">
      <c r="F329" s="74"/>
    </row>
    <row r="330" spans="1:6">
      <c r="B330" s="77" t="s">
        <v>305</v>
      </c>
      <c r="C330" s="77"/>
      <c r="F330" s="74">
        <f>SUM(F326:F329)</f>
        <v>198</v>
      </c>
    </row>
    <row r="331" spans="1:6">
      <c r="F331" s="74"/>
    </row>
    <row r="332" spans="1:6">
      <c r="B332" s="59" t="s">
        <v>324</v>
      </c>
      <c r="C332" s="59"/>
      <c r="F332" s="107">
        <v>198</v>
      </c>
    </row>
    <row r="333" spans="1:6">
      <c r="B333" s="59"/>
      <c r="C333" s="59"/>
      <c r="F333" s="107"/>
    </row>
    <row r="334" spans="1:6">
      <c r="A334" s="47" t="s">
        <v>336</v>
      </c>
      <c r="B334" s="47" t="s">
        <v>337</v>
      </c>
    </row>
    <row r="336" spans="1:6">
      <c r="B336" s="72" t="s">
        <v>338</v>
      </c>
      <c r="C336" s="51"/>
      <c r="D336" s="51">
        <v>2.7</v>
      </c>
      <c r="E336" s="51" t="s">
        <v>0</v>
      </c>
    </row>
    <row r="338" spans="1:6">
      <c r="B338" s="47" t="s">
        <v>339</v>
      </c>
      <c r="D338" s="51">
        <v>12.65</v>
      </c>
      <c r="E338" s="74">
        <f>E223</f>
        <v>63.234999999999999</v>
      </c>
      <c r="F338" s="74">
        <f>D338*E338</f>
        <v>799.92275000000006</v>
      </c>
    </row>
    <row r="339" spans="1:6">
      <c r="B339" s="47" t="s">
        <v>340</v>
      </c>
      <c r="F339" s="74"/>
    </row>
    <row r="340" spans="1:6">
      <c r="B340" s="47" t="s">
        <v>341</v>
      </c>
      <c r="F340" s="74"/>
    </row>
    <row r="341" spans="1:6">
      <c r="B341" s="47" t="str">
        <f>B223</f>
        <v>Page No. I N 18 / P.N 13</v>
      </c>
      <c r="F341" s="74"/>
    </row>
    <row r="342" spans="1:6">
      <c r="B342" s="77" t="s">
        <v>305</v>
      </c>
      <c r="C342" s="77"/>
      <c r="F342" s="74">
        <f>SUM(F338:F341)</f>
        <v>799.92275000000006</v>
      </c>
    </row>
    <row r="343" spans="1:6">
      <c r="F343" s="74"/>
    </row>
    <row r="344" spans="1:6">
      <c r="B344" s="59" t="s">
        <v>342</v>
      </c>
      <c r="C344" s="59"/>
      <c r="F344" s="74">
        <f>F342/2.7</f>
        <v>296.2676851851852</v>
      </c>
    </row>
    <row r="346" spans="1:6">
      <c r="E346" s="79" t="s">
        <v>238</v>
      </c>
      <c r="F346" s="60">
        <f>ROUND(F344,1)</f>
        <v>296.3</v>
      </c>
    </row>
    <row r="347" spans="1:6">
      <c r="A347" s="47" t="s">
        <v>343</v>
      </c>
      <c r="B347" s="47" t="s">
        <v>344</v>
      </c>
    </row>
    <row r="348" spans="1:6">
      <c r="B348" s="72" t="s">
        <v>345</v>
      </c>
      <c r="C348" s="51"/>
      <c r="D348" s="74">
        <v>4</v>
      </c>
      <c r="E348" s="51" t="s">
        <v>0</v>
      </c>
    </row>
    <row r="349" spans="1:6">
      <c r="B349" s="47" t="s">
        <v>346</v>
      </c>
    </row>
    <row r="350" spans="1:6">
      <c r="B350" s="72" t="s">
        <v>347</v>
      </c>
      <c r="C350" s="72"/>
    </row>
    <row r="351" spans="1:6">
      <c r="B351" s="72" t="s">
        <v>348</v>
      </c>
      <c r="C351" s="72"/>
    </row>
    <row r="352" spans="1:6">
      <c r="B352" s="72"/>
      <c r="C352" s="72"/>
    </row>
    <row r="353" spans="2:6">
      <c r="B353" s="72" t="s">
        <v>349</v>
      </c>
      <c r="C353" s="72"/>
    </row>
    <row r="354" spans="2:6">
      <c r="B354" s="72" t="s">
        <v>350</v>
      </c>
      <c r="C354" s="72"/>
    </row>
    <row r="355" spans="2:6">
      <c r="B355" s="72"/>
      <c r="C355" s="72"/>
    </row>
    <row r="356" spans="2:6">
      <c r="B356" s="72" t="s">
        <v>351</v>
      </c>
      <c r="C356" s="72"/>
    </row>
    <row r="357" spans="2:6">
      <c r="B357" s="72" t="s">
        <v>352</v>
      </c>
      <c r="C357" s="72"/>
    </row>
    <row r="358" spans="2:6">
      <c r="B358" s="72"/>
      <c r="C358" s="72"/>
    </row>
    <row r="359" spans="2:6">
      <c r="B359" s="72" t="s">
        <v>353</v>
      </c>
      <c r="C359" s="72"/>
    </row>
    <row r="360" spans="2:6">
      <c r="B360" s="77" t="s">
        <v>354</v>
      </c>
      <c r="C360" s="77"/>
      <c r="D360" s="51">
        <v>73.58</v>
      </c>
      <c r="E360" s="74">
        <f>E338</f>
        <v>63.234999999999999</v>
      </c>
      <c r="F360" s="74">
        <f>D360*E360</f>
        <v>4652.8312999999998</v>
      </c>
    </row>
    <row r="361" spans="2:6">
      <c r="B361" s="47" t="s">
        <v>355</v>
      </c>
      <c r="F361" s="74"/>
    </row>
    <row r="362" spans="2:6">
      <c r="B362" s="77" t="s">
        <v>356</v>
      </c>
      <c r="C362" s="77"/>
      <c r="F362" s="74"/>
    </row>
    <row r="363" spans="2:6">
      <c r="B363" s="77" t="s">
        <v>357</v>
      </c>
      <c r="C363" s="77"/>
      <c r="D363" s="51">
        <v>0.08</v>
      </c>
      <c r="E363" s="60">
        <f>[1]EWH1!M821</f>
        <v>3235.2056000000002</v>
      </c>
      <c r="F363" s="74">
        <f>D363*E363</f>
        <v>258.81644800000004</v>
      </c>
    </row>
    <row r="364" spans="2:6">
      <c r="F364" s="74"/>
    </row>
    <row r="365" spans="2:6">
      <c r="B365" s="78" t="s">
        <v>358</v>
      </c>
      <c r="C365" s="78"/>
      <c r="F365" s="74">
        <f>SUM(F360:F364)</f>
        <v>4911.6477479999994</v>
      </c>
    </row>
    <row r="366" spans="2:6">
      <c r="B366" s="78"/>
      <c r="C366" s="78"/>
      <c r="F366" s="74"/>
    </row>
    <row r="367" spans="2:6">
      <c r="B367" s="59" t="s">
        <v>359</v>
      </c>
      <c r="C367" s="59"/>
      <c r="D367" s="79"/>
      <c r="E367" s="79"/>
      <c r="F367" s="60">
        <f>F365/D348</f>
        <v>1227.9119369999999</v>
      </c>
    </row>
    <row r="368" spans="2:6">
      <c r="B368" s="59"/>
      <c r="C368" s="59"/>
      <c r="D368" s="79"/>
      <c r="E368" s="79"/>
      <c r="F368" s="60"/>
    </row>
    <row r="369" spans="4:6">
      <c r="E369" s="51" t="s">
        <v>16</v>
      </c>
      <c r="F369" s="60">
        <f>ROUND(F367,1)</f>
        <v>1227.9000000000001</v>
      </c>
    </row>
    <row r="373" spans="4:6">
      <c r="D373" s="47"/>
      <c r="E373" s="47"/>
      <c r="F373" s="47"/>
    </row>
    <row r="374" spans="4:6">
      <c r="D374" s="47"/>
      <c r="E374" s="47"/>
      <c r="F374" s="47"/>
    </row>
    <row r="375" spans="4:6">
      <c r="D375" s="47"/>
      <c r="E375" s="47"/>
      <c r="F375" s="47"/>
    </row>
    <row r="376" spans="4:6">
      <c r="D376" s="47"/>
      <c r="E376" s="47"/>
      <c r="F376" s="47"/>
    </row>
    <row r="377" spans="4:6">
      <c r="D377" s="47"/>
      <c r="E377" s="47"/>
      <c r="F377" s="47"/>
    </row>
    <row r="378" spans="4:6">
      <c r="D378" s="47"/>
      <c r="E378" s="47"/>
      <c r="F378" s="47"/>
    </row>
    <row r="379" spans="4:6">
      <c r="D379" s="47"/>
      <c r="E379" s="47"/>
      <c r="F379" s="47"/>
    </row>
    <row r="380" spans="4:6">
      <c r="D380" s="47"/>
      <c r="E380" s="47"/>
      <c r="F380" s="47"/>
    </row>
    <row r="381" spans="4:6">
      <c r="D381" s="47"/>
      <c r="E381" s="47"/>
      <c r="F381" s="47"/>
    </row>
    <row r="382" spans="4:6">
      <c r="D382" s="47"/>
      <c r="E382" s="47"/>
      <c r="F382" s="47"/>
    </row>
    <row r="383" spans="4:6">
      <c r="D383" s="47"/>
      <c r="E383" s="47"/>
      <c r="F383" s="47"/>
    </row>
    <row r="384" spans="4:6">
      <c r="D384" s="47"/>
      <c r="E384" s="47"/>
      <c r="F384" s="47"/>
    </row>
    <row r="385" spans="4:6">
      <c r="D385" s="47"/>
      <c r="E385" s="47"/>
      <c r="F385" s="47"/>
    </row>
    <row r="386" spans="4:6">
      <c r="D386" s="47"/>
      <c r="E386" s="47"/>
      <c r="F386" s="47"/>
    </row>
    <row r="387" spans="4:6">
      <c r="D387" s="47"/>
      <c r="E387" s="47"/>
      <c r="F387" s="47"/>
    </row>
    <row r="388" spans="4:6" ht="14.25" customHeight="1">
      <c r="D388" s="47"/>
      <c r="E388" s="47"/>
      <c r="F388" s="47"/>
    </row>
    <row r="389" spans="4:6">
      <c r="D389" s="47"/>
      <c r="E389" s="47"/>
      <c r="F389" s="47"/>
    </row>
    <row r="390" spans="4:6">
      <c r="D390" s="47"/>
      <c r="E390" s="47"/>
      <c r="F390" s="47"/>
    </row>
    <row r="391" spans="4:6">
      <c r="D391" s="47"/>
      <c r="E391" s="47"/>
      <c r="F391" s="47"/>
    </row>
    <row r="392" spans="4:6">
      <c r="D392" s="47"/>
      <c r="E392" s="47"/>
      <c r="F392" s="47"/>
    </row>
    <row r="393" spans="4:6">
      <c r="D393" s="47"/>
      <c r="E393" s="47"/>
      <c r="F393" s="47"/>
    </row>
    <row r="394" spans="4:6">
      <c r="D394" s="47"/>
      <c r="E394" s="47"/>
      <c r="F394" s="47"/>
    </row>
    <row r="395" spans="4:6">
      <c r="D395" s="47"/>
      <c r="E395" s="47"/>
      <c r="F395" s="47"/>
    </row>
    <row r="396" spans="4:6">
      <c r="D396" s="47"/>
      <c r="E396" s="47"/>
      <c r="F396" s="47"/>
    </row>
    <row r="397" spans="4:6">
      <c r="D397" s="47"/>
      <c r="E397" s="47"/>
      <c r="F397" s="47"/>
    </row>
    <row r="398" spans="4:6">
      <c r="D398" s="47"/>
      <c r="E398" s="47"/>
      <c r="F398" s="47"/>
    </row>
    <row r="399" spans="4:6">
      <c r="D399" s="47"/>
      <c r="E399" s="47"/>
      <c r="F399" s="47"/>
    </row>
    <row r="400" spans="4:6">
      <c r="D400" s="47"/>
      <c r="E400" s="47"/>
      <c r="F400" s="47"/>
    </row>
    <row r="401" spans="2:7">
      <c r="D401" s="47"/>
      <c r="E401" s="47"/>
      <c r="F401" s="47"/>
    </row>
    <row r="402" spans="2:7">
      <c r="D402" s="47"/>
      <c r="E402" s="47"/>
      <c r="F402" s="47"/>
    </row>
    <row r="403" spans="2:7">
      <c r="D403" s="47"/>
      <c r="E403" s="47"/>
      <c r="F403" s="47"/>
    </row>
    <row r="404" spans="2:7">
      <c r="D404" s="47"/>
      <c r="E404" s="47"/>
      <c r="F404" s="47"/>
    </row>
    <row r="405" spans="2:7">
      <c r="D405" s="47"/>
      <c r="E405" s="47"/>
      <c r="F405" s="47"/>
    </row>
    <row r="406" spans="2:7">
      <c r="D406" s="47"/>
      <c r="E406" s="47"/>
      <c r="F406" s="47"/>
    </row>
    <row r="407" spans="2:7">
      <c r="D407" s="47"/>
      <c r="E407" s="47"/>
      <c r="F407" s="47"/>
    </row>
    <row r="408" spans="2:7">
      <c r="D408" s="47"/>
      <c r="E408" s="47"/>
      <c r="F408" s="47"/>
    </row>
    <row r="409" spans="2:7">
      <c r="D409" s="47"/>
      <c r="E409" s="47"/>
      <c r="F409" s="47"/>
    </row>
    <row r="410" spans="2:7">
      <c r="B410" s="77"/>
      <c r="C410" s="77"/>
      <c r="F410" s="74"/>
    </row>
    <row r="411" spans="2:7">
      <c r="F411" s="74"/>
    </row>
    <row r="412" spans="2:7">
      <c r="F412" s="74"/>
    </row>
    <row r="413" spans="2:7">
      <c r="F413" s="74"/>
      <c r="G413" s="80"/>
    </row>
    <row r="414" spans="2:7">
      <c r="F414" s="74"/>
    </row>
    <row r="415" spans="2:7">
      <c r="B415" s="78"/>
      <c r="C415" s="78"/>
      <c r="F415" s="74"/>
    </row>
    <row r="416" spans="2:7">
      <c r="B416" s="78"/>
      <c r="C416" s="78"/>
      <c r="F416" s="74"/>
    </row>
    <row r="420" spans="4:6">
      <c r="D420" s="47"/>
      <c r="E420" s="47"/>
      <c r="F420" s="47"/>
    </row>
    <row r="421" spans="4:6">
      <c r="D421" s="47"/>
      <c r="E421" s="47"/>
      <c r="F421" s="47"/>
    </row>
    <row r="422" spans="4:6">
      <c r="D422" s="47"/>
      <c r="E422" s="47"/>
      <c r="F422" s="47"/>
    </row>
    <row r="423" spans="4:6">
      <c r="D423" s="47"/>
      <c r="E423" s="47"/>
      <c r="F423" s="47"/>
    </row>
    <row r="424" spans="4:6">
      <c r="D424" s="47"/>
      <c r="E424" s="47"/>
      <c r="F424" s="47"/>
    </row>
    <row r="425" spans="4:6">
      <c r="D425" s="47"/>
      <c r="E425" s="47"/>
      <c r="F425" s="47"/>
    </row>
    <row r="426" spans="4:6">
      <c r="D426" s="47"/>
      <c r="E426" s="47"/>
      <c r="F426" s="47"/>
    </row>
    <row r="427" spans="4:6">
      <c r="D427" s="47"/>
      <c r="E427" s="47"/>
      <c r="F427" s="47"/>
    </row>
    <row r="428" spans="4:6">
      <c r="D428" s="47"/>
      <c r="E428" s="47"/>
      <c r="F428" s="47"/>
    </row>
    <row r="429" spans="4:6">
      <c r="D429" s="47"/>
      <c r="E429" s="47"/>
      <c r="F429" s="47"/>
    </row>
    <row r="430" spans="4:6">
      <c r="D430" s="47"/>
      <c r="E430" s="47"/>
      <c r="F430" s="47"/>
    </row>
    <row r="431" spans="4:6">
      <c r="D431" s="47"/>
      <c r="E431" s="47"/>
      <c r="F431" s="47"/>
    </row>
    <row r="432" spans="4:6">
      <c r="D432" s="47"/>
      <c r="E432" s="47"/>
      <c r="F432" s="47"/>
    </row>
    <row r="433" spans="4:6">
      <c r="D433" s="47"/>
      <c r="E433" s="47"/>
      <c r="F433" s="47"/>
    </row>
    <row r="434" spans="4:6">
      <c r="D434" s="47"/>
      <c r="E434" s="47"/>
      <c r="F434" s="47"/>
    </row>
    <row r="435" spans="4:6">
      <c r="D435" s="47"/>
      <c r="E435" s="47"/>
      <c r="F435" s="47"/>
    </row>
    <row r="436" spans="4:6">
      <c r="D436" s="47"/>
      <c r="E436" s="47"/>
      <c r="F436" s="47"/>
    </row>
    <row r="437" spans="4:6">
      <c r="D437" s="47"/>
      <c r="E437" s="47"/>
      <c r="F437" s="47"/>
    </row>
    <row r="438" spans="4:6">
      <c r="D438" s="47"/>
      <c r="E438" s="47"/>
      <c r="F438" s="47"/>
    </row>
    <row r="439" spans="4:6">
      <c r="D439" s="47"/>
      <c r="E439" s="47"/>
      <c r="F439" s="47"/>
    </row>
    <row r="440" spans="4:6">
      <c r="D440" s="47"/>
      <c r="E440" s="47"/>
      <c r="F440" s="47"/>
    </row>
    <row r="441" spans="4:6">
      <c r="D441" s="47"/>
      <c r="E441" s="47"/>
      <c r="F441" s="47"/>
    </row>
    <row r="442" spans="4:6">
      <c r="D442" s="47"/>
      <c r="E442" s="47"/>
      <c r="F442" s="47"/>
    </row>
    <row r="443" spans="4:6">
      <c r="D443" s="47"/>
      <c r="E443" s="47"/>
      <c r="F443" s="47"/>
    </row>
    <row r="444" spans="4:6">
      <c r="D444" s="47"/>
      <c r="E444" s="47"/>
      <c r="F444" s="47"/>
    </row>
    <row r="445" spans="4:6">
      <c r="D445" s="47"/>
      <c r="E445" s="47"/>
      <c r="F445" s="47"/>
    </row>
    <row r="446" spans="4:6">
      <c r="D446" s="47"/>
      <c r="E446" s="47"/>
      <c r="F446" s="47"/>
    </row>
    <row r="447" spans="4:6">
      <c r="D447" s="47"/>
      <c r="E447" s="47"/>
      <c r="F447" s="47"/>
    </row>
    <row r="448" spans="4:6">
      <c r="D448" s="47"/>
      <c r="E448" s="47"/>
      <c r="F448" s="47"/>
    </row>
    <row r="449" spans="4:6">
      <c r="D449" s="47"/>
      <c r="E449" s="47"/>
      <c r="F449" s="47"/>
    </row>
    <row r="450" spans="4:6">
      <c r="D450" s="47"/>
      <c r="E450" s="47"/>
      <c r="F450" s="47"/>
    </row>
    <row r="451" spans="4:6">
      <c r="D451" s="47"/>
      <c r="E451" s="47"/>
      <c r="F451" s="47"/>
    </row>
    <row r="452" spans="4:6">
      <c r="D452" s="47"/>
      <c r="E452" s="47"/>
      <c r="F452" s="47"/>
    </row>
    <row r="453" spans="4:6">
      <c r="D453" s="47"/>
      <c r="E453" s="47"/>
      <c r="F453" s="47"/>
    </row>
    <row r="454" spans="4:6">
      <c r="D454" s="47"/>
      <c r="E454" s="47"/>
      <c r="F454" s="47"/>
    </row>
    <row r="455" spans="4:6">
      <c r="D455" s="47"/>
      <c r="E455" s="47"/>
      <c r="F455" s="47"/>
    </row>
    <row r="456" spans="4:6">
      <c r="D456" s="47"/>
      <c r="E456" s="47"/>
      <c r="F456" s="47"/>
    </row>
    <row r="457" spans="4:6">
      <c r="D457" s="47"/>
      <c r="E457" s="47"/>
      <c r="F457" s="47"/>
    </row>
    <row r="458" spans="4:6">
      <c r="D458" s="47"/>
      <c r="E458" s="47"/>
      <c r="F458" s="47"/>
    </row>
    <row r="459" spans="4:6">
      <c r="D459" s="47"/>
      <c r="E459" s="47"/>
      <c r="F459" s="47"/>
    </row>
    <row r="460" spans="4:6">
      <c r="D460" s="47"/>
      <c r="E460" s="47"/>
      <c r="F460" s="47"/>
    </row>
    <row r="461" spans="4:6">
      <c r="D461" s="47"/>
      <c r="E461" s="47"/>
      <c r="F461" s="47"/>
    </row>
    <row r="462" spans="4:6">
      <c r="D462" s="47"/>
      <c r="E462" s="47"/>
      <c r="F462" s="47"/>
    </row>
    <row r="464" spans="4:6">
      <c r="D464" s="47"/>
      <c r="E464" s="47"/>
      <c r="F464" s="47"/>
    </row>
    <row r="465" spans="4:6">
      <c r="D465" s="47"/>
      <c r="E465" s="47"/>
      <c r="F465" s="47"/>
    </row>
    <row r="466" spans="4:6">
      <c r="D466" s="47"/>
      <c r="E466" s="47"/>
      <c r="F466" s="47"/>
    </row>
    <row r="467" spans="4:6">
      <c r="D467" s="47"/>
      <c r="E467" s="47"/>
      <c r="F467" s="47"/>
    </row>
    <row r="468" spans="4:6">
      <c r="D468" s="47"/>
      <c r="E468" s="47"/>
      <c r="F468" s="47"/>
    </row>
    <row r="469" spans="4:6">
      <c r="D469" s="47"/>
      <c r="E469" s="47"/>
      <c r="F469" s="47"/>
    </row>
    <row r="470" spans="4:6">
      <c r="D470" s="47"/>
      <c r="E470" s="47"/>
      <c r="F470" s="47"/>
    </row>
    <row r="471" spans="4:6">
      <c r="D471" s="47"/>
      <c r="E471" s="47"/>
      <c r="F471" s="47"/>
    </row>
    <row r="472" spans="4:6">
      <c r="D472" s="47"/>
      <c r="E472" s="47"/>
      <c r="F472" s="47"/>
    </row>
    <row r="473" spans="4:6">
      <c r="D473" s="47"/>
      <c r="E473" s="47"/>
      <c r="F473" s="47"/>
    </row>
    <row r="474" spans="4:6">
      <c r="D474" s="47"/>
      <c r="E474" s="47"/>
      <c r="F474" s="47"/>
    </row>
    <row r="475" spans="4:6">
      <c r="D475" s="47"/>
      <c r="E475" s="47"/>
      <c r="F475" s="47"/>
    </row>
    <row r="476" spans="4:6">
      <c r="D476" s="47"/>
      <c r="E476" s="47"/>
      <c r="F476" s="47"/>
    </row>
    <row r="477" spans="4:6">
      <c r="D477" s="47"/>
      <c r="E477" s="47"/>
      <c r="F477" s="47"/>
    </row>
    <row r="478" spans="4:6">
      <c r="D478" s="47"/>
      <c r="E478" s="47"/>
      <c r="F478" s="47"/>
    </row>
    <row r="479" spans="4:6">
      <c r="D479" s="47"/>
      <c r="E479" s="47"/>
      <c r="F479" s="47"/>
    </row>
    <row r="480" spans="4:6">
      <c r="D480" s="47"/>
      <c r="E480" s="47"/>
      <c r="F480" s="47"/>
    </row>
    <row r="481" spans="4:6">
      <c r="D481" s="47"/>
      <c r="E481" s="47"/>
      <c r="F481" s="47"/>
    </row>
    <row r="482" spans="4:6">
      <c r="D482" s="47"/>
      <c r="E482" s="47"/>
      <c r="F482" s="47"/>
    </row>
    <row r="483" spans="4:6">
      <c r="D483" s="47"/>
      <c r="E483" s="47"/>
      <c r="F483" s="47"/>
    </row>
    <row r="484" spans="4:6">
      <c r="D484" s="47"/>
      <c r="E484" s="47"/>
      <c r="F484" s="47"/>
    </row>
    <row r="485" spans="4:6">
      <c r="D485" s="47"/>
      <c r="E485" s="47"/>
      <c r="F485" s="47"/>
    </row>
    <row r="486" spans="4:6">
      <c r="D486" s="47"/>
      <c r="E486" s="47"/>
      <c r="F486" s="47"/>
    </row>
    <row r="487" spans="4:6">
      <c r="D487" s="47"/>
      <c r="E487" s="47"/>
      <c r="F487" s="47"/>
    </row>
    <row r="488" spans="4:6">
      <c r="D488" s="47"/>
      <c r="E488" s="47"/>
      <c r="F488" s="47"/>
    </row>
    <row r="489" spans="4:6">
      <c r="D489" s="47"/>
      <c r="E489" s="47"/>
      <c r="F489" s="47"/>
    </row>
    <row r="490" spans="4:6">
      <c r="D490" s="47"/>
      <c r="E490" s="47"/>
      <c r="F490" s="47"/>
    </row>
    <row r="491" spans="4:6">
      <c r="D491" s="47"/>
      <c r="E491" s="47"/>
      <c r="F491" s="47"/>
    </row>
    <row r="492" spans="4:6">
      <c r="D492" s="47"/>
      <c r="E492" s="47"/>
      <c r="F492" s="47"/>
    </row>
    <row r="493" spans="4:6">
      <c r="D493" s="47"/>
      <c r="E493" s="47"/>
      <c r="F493" s="47"/>
    </row>
    <row r="494" spans="4:6">
      <c r="D494" s="47"/>
      <c r="E494" s="47"/>
      <c r="F494" s="47"/>
    </row>
    <row r="495" spans="4:6">
      <c r="D495" s="47"/>
      <c r="E495" s="47"/>
      <c r="F495" s="47"/>
    </row>
    <row r="496" spans="4:6">
      <c r="D496" s="47"/>
      <c r="E496" s="47"/>
      <c r="F496" s="47"/>
    </row>
    <row r="497" spans="4:6">
      <c r="D497" s="47"/>
      <c r="E497" s="47"/>
      <c r="F497" s="47"/>
    </row>
  </sheetData>
  <mergeCells count="8">
    <mergeCell ref="G28:I28"/>
    <mergeCell ref="B152:D152"/>
    <mergeCell ref="B178:H178"/>
    <mergeCell ref="A1:H1"/>
    <mergeCell ref="A2:H2"/>
    <mergeCell ref="B4:I4"/>
    <mergeCell ref="B5:E5"/>
    <mergeCell ref="B9:H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47"/>
  <sheetViews>
    <sheetView topLeftCell="A18" workbookViewId="0">
      <selection activeCell="I36" sqref="I36"/>
    </sheetView>
  </sheetViews>
  <sheetFormatPr defaultRowHeight="12.75"/>
  <cols>
    <col min="1" max="1" width="3.42578125" style="120" customWidth="1"/>
    <col min="2" max="2" width="10.28515625" style="129" customWidth="1"/>
    <col min="3" max="3" width="7.7109375" style="119" customWidth="1"/>
    <col min="4" max="4" width="6.42578125" style="119" customWidth="1"/>
    <col min="5" max="5" width="30.7109375" style="119" customWidth="1"/>
    <col min="6" max="6" width="5.140625" style="119" customWidth="1"/>
    <col min="7" max="7" width="9" style="119" customWidth="1"/>
    <col min="8" max="8" width="10.140625" style="119" customWidth="1"/>
    <col min="9" max="10" width="9.140625" style="119"/>
    <col min="11" max="11" width="4.42578125" style="119" customWidth="1"/>
    <col min="12" max="12" width="0.85546875" style="119" hidden="1" customWidth="1"/>
    <col min="13" max="13" width="7.28515625" style="275" customWidth="1"/>
    <col min="14" max="16384" width="9.140625" style="119"/>
  </cols>
  <sheetData>
    <row r="1" spans="1:19" ht="23.25">
      <c r="A1" s="810" t="s">
        <v>95</v>
      </c>
      <c r="B1" s="810"/>
      <c r="C1" s="810"/>
      <c r="D1" s="810"/>
      <c r="E1" s="810"/>
      <c r="F1" s="810"/>
      <c r="G1" s="810"/>
      <c r="H1" s="810"/>
      <c r="I1" s="810"/>
      <c r="J1" s="810"/>
      <c r="K1" s="810"/>
      <c r="L1" s="810"/>
    </row>
    <row r="2" spans="1:19">
      <c r="A2" s="811" t="s">
        <v>392</v>
      </c>
      <c r="B2" s="811"/>
      <c r="C2" s="811"/>
      <c r="D2" s="811"/>
      <c r="E2" s="811"/>
      <c r="F2" s="811"/>
      <c r="G2" s="811"/>
      <c r="H2" s="811"/>
      <c r="I2" s="811"/>
      <c r="J2" s="811"/>
      <c r="K2" s="811"/>
      <c r="L2" s="811"/>
    </row>
    <row r="3" spans="1:19" s="123" customFormat="1" ht="18.75">
      <c r="A3" s="812" t="s">
        <v>597</v>
      </c>
      <c r="B3" s="812"/>
      <c r="C3" s="812"/>
      <c r="D3" s="812"/>
      <c r="E3" s="812"/>
      <c r="F3" s="121"/>
      <c r="G3" s="121"/>
      <c r="H3" s="121"/>
      <c r="I3" s="121"/>
      <c r="J3" s="122"/>
      <c r="K3" s="122"/>
      <c r="M3" s="276"/>
    </row>
    <row r="4" spans="1:19" s="128" customFormat="1" ht="9.75" customHeight="1">
      <c r="A4" s="276"/>
      <c r="B4" s="124"/>
      <c r="C4" s="124"/>
      <c r="D4" s="124"/>
      <c r="E4" s="124"/>
      <c r="F4" s="124"/>
      <c r="G4" s="124"/>
      <c r="H4" s="124"/>
      <c r="I4" s="124"/>
      <c r="J4" s="124"/>
      <c r="K4" s="124"/>
      <c r="L4" s="124"/>
      <c r="M4" s="125"/>
      <c r="N4" s="126"/>
      <c r="O4" s="126"/>
      <c r="P4" s="126"/>
      <c r="Q4" s="127"/>
      <c r="R4" s="127"/>
      <c r="S4" s="127"/>
    </row>
    <row r="5" spans="1:19" s="128" customFormat="1" ht="37.5" customHeight="1">
      <c r="A5" s="813" t="str">
        <f>ROYALTY!A4</f>
        <v>NAME OF WORK : PROPOSED NEW CONSTRUCTON WORK OF STORAGE PACK HOUSE  OF SHREE MAHAGANPATI  AGRO PRODUCER COMPANY LIMITED,     IN GAT  NO.121.  A/P-THANAPUDE   TAL. WALWA, DIST. SANGLI.</v>
      </c>
      <c r="B5" s="813"/>
      <c r="C5" s="813"/>
      <c r="D5" s="813"/>
      <c r="E5" s="813"/>
      <c r="F5" s="813"/>
      <c r="G5" s="813"/>
      <c r="H5" s="813"/>
      <c r="I5" s="813"/>
      <c r="J5" s="813"/>
      <c r="K5" s="813"/>
      <c r="L5" s="813"/>
      <c r="M5" s="125"/>
      <c r="N5" s="126"/>
      <c r="O5" s="126"/>
      <c r="P5" s="126"/>
      <c r="Q5" s="127"/>
      <c r="R5" s="127"/>
      <c r="S5" s="127"/>
    </row>
    <row r="6" spans="1:19" ht="23.25">
      <c r="A6" s="810" t="s">
        <v>393</v>
      </c>
      <c r="B6" s="810"/>
      <c r="C6" s="810"/>
      <c r="D6" s="810"/>
      <c r="E6" s="810"/>
      <c r="F6" s="810"/>
      <c r="G6" s="810"/>
      <c r="H6" s="810"/>
      <c r="I6" s="810"/>
      <c r="J6" s="810"/>
      <c r="K6" s="810"/>
      <c r="L6" s="810"/>
      <c r="M6" s="810"/>
    </row>
    <row r="7" spans="1:19" ht="7.5" customHeight="1" thickBot="1"/>
    <row r="8" spans="1:19" s="132" customFormat="1" ht="51" customHeight="1" thickBot="1">
      <c r="A8" s="311" t="s">
        <v>394</v>
      </c>
      <c r="B8" s="130" t="s">
        <v>395</v>
      </c>
      <c r="C8" s="131" t="s">
        <v>396</v>
      </c>
      <c r="D8" s="131" t="s">
        <v>117</v>
      </c>
      <c r="E8" s="130" t="s">
        <v>397</v>
      </c>
      <c r="F8" s="130" t="s">
        <v>398</v>
      </c>
      <c r="G8" s="130" t="s">
        <v>399</v>
      </c>
      <c r="H8" s="130" t="s">
        <v>104</v>
      </c>
      <c r="I8" s="814" t="s">
        <v>400</v>
      </c>
      <c r="J8" s="815"/>
      <c r="K8" s="815"/>
      <c r="L8" s="815"/>
      <c r="M8" s="277" t="s">
        <v>596</v>
      </c>
    </row>
    <row r="9" spans="1:19" s="139" customFormat="1" ht="42.75" customHeight="1">
      <c r="A9" s="135">
        <v>1</v>
      </c>
      <c r="B9" s="133" t="s">
        <v>401</v>
      </c>
      <c r="C9" s="134">
        <f>ROYALTY!E32</f>
        <v>0</v>
      </c>
      <c r="D9" s="135" t="s">
        <v>402</v>
      </c>
      <c r="E9" s="136" t="s">
        <v>403</v>
      </c>
      <c r="F9" s="137">
        <f>ROUNDUP(C9/3000,0)</f>
        <v>0</v>
      </c>
      <c r="G9" s="138">
        <v>3300</v>
      </c>
      <c r="H9" s="138">
        <f>F9*G9</f>
        <v>0</v>
      </c>
      <c r="I9" s="808" t="s">
        <v>404</v>
      </c>
      <c r="J9" s="808"/>
      <c r="K9" s="808"/>
      <c r="L9" s="809"/>
      <c r="M9" s="149" t="s">
        <v>405</v>
      </c>
    </row>
    <row r="10" spans="1:19" s="139" customFormat="1" ht="32.25" customHeight="1">
      <c r="A10" s="816">
        <v>2</v>
      </c>
      <c r="B10" s="819" t="s">
        <v>15</v>
      </c>
      <c r="C10" s="822">
        <f>ROYALTY!G32</f>
        <v>34.81</v>
      </c>
      <c r="D10" s="816" t="s">
        <v>41</v>
      </c>
      <c r="E10" s="140" t="s">
        <v>406</v>
      </c>
      <c r="F10" s="141">
        <v>1</v>
      </c>
      <c r="G10" s="142">
        <v>1200</v>
      </c>
      <c r="H10" s="142">
        <f>F10*G10</f>
        <v>1200</v>
      </c>
      <c r="I10" s="825" t="s">
        <v>407</v>
      </c>
      <c r="J10" s="826"/>
      <c r="K10" s="826"/>
      <c r="L10" s="826"/>
      <c r="M10" s="146" t="s">
        <v>408</v>
      </c>
    </row>
    <row r="11" spans="1:19" s="139" customFormat="1" ht="27.75" customHeight="1">
      <c r="A11" s="817"/>
      <c r="B11" s="820"/>
      <c r="C11" s="823"/>
      <c r="D11" s="817"/>
      <c r="E11" s="140" t="s">
        <v>409</v>
      </c>
      <c r="F11" s="141">
        <v>1</v>
      </c>
      <c r="G11" s="142">
        <v>700</v>
      </c>
      <c r="H11" s="142">
        <f>F11*G11</f>
        <v>700</v>
      </c>
      <c r="I11" s="825" t="s">
        <v>407</v>
      </c>
      <c r="J11" s="826"/>
      <c r="K11" s="826"/>
      <c r="L11" s="826"/>
      <c r="M11" s="146" t="s">
        <v>410</v>
      </c>
    </row>
    <row r="12" spans="1:19" s="139" customFormat="1" ht="25.5" customHeight="1">
      <c r="A12" s="818"/>
      <c r="B12" s="821"/>
      <c r="C12" s="824"/>
      <c r="D12" s="818"/>
      <c r="E12" s="140" t="s">
        <v>411</v>
      </c>
      <c r="F12" s="141">
        <v>1</v>
      </c>
      <c r="G12" s="142">
        <v>750</v>
      </c>
      <c r="H12" s="142">
        <f>F12*G12</f>
        <v>750</v>
      </c>
      <c r="I12" s="825" t="s">
        <v>407</v>
      </c>
      <c r="J12" s="826"/>
      <c r="K12" s="826"/>
      <c r="L12" s="826"/>
      <c r="M12" s="146" t="s">
        <v>412</v>
      </c>
    </row>
    <row r="13" spans="1:19" s="147" customFormat="1" ht="0.75" customHeight="1">
      <c r="A13" s="475"/>
      <c r="B13" s="476"/>
      <c r="C13" s="477"/>
      <c r="D13" s="478"/>
      <c r="E13" s="479"/>
      <c r="F13" s="480"/>
      <c r="G13" s="477"/>
      <c r="H13" s="477"/>
      <c r="I13" s="809"/>
      <c r="J13" s="827"/>
      <c r="K13" s="827"/>
      <c r="L13" s="827"/>
      <c r="M13" s="149"/>
    </row>
    <row r="14" spans="1:19" s="147" customFormat="1" ht="31.5" customHeight="1">
      <c r="A14" s="828">
        <v>3</v>
      </c>
      <c r="B14" s="830" t="s">
        <v>573</v>
      </c>
      <c r="C14" s="833" t="e">
        <f>ROYALTY!C27+ROYALTY!C29+ROYALTY!#REF!+ROYALTY!#REF!</f>
        <v>#REF!</v>
      </c>
      <c r="D14" s="144" t="s">
        <v>41</v>
      </c>
      <c r="E14" s="140" t="s">
        <v>413</v>
      </c>
      <c r="F14" s="144">
        <v>0</v>
      </c>
      <c r="G14" s="145">
        <v>12100</v>
      </c>
      <c r="H14" s="145">
        <f>F14*G14</f>
        <v>0</v>
      </c>
      <c r="I14" s="836" t="s">
        <v>414</v>
      </c>
      <c r="J14" s="837"/>
      <c r="K14" s="837"/>
      <c r="L14" s="837"/>
      <c r="M14" s="146" t="s">
        <v>415</v>
      </c>
    </row>
    <row r="15" spans="1:19" s="147" customFormat="1" ht="15.75" customHeight="1">
      <c r="A15" s="829"/>
      <c r="B15" s="831"/>
      <c r="C15" s="834"/>
      <c r="D15" s="828" t="s">
        <v>41</v>
      </c>
      <c r="E15" s="847" t="s">
        <v>574</v>
      </c>
      <c r="F15" s="848" t="e">
        <f>ROUND(C14/15+1,0)</f>
        <v>#REF!</v>
      </c>
      <c r="G15" s="833">
        <f>2*600</f>
        <v>1200</v>
      </c>
      <c r="H15" s="833" t="e">
        <f>F15*G15</f>
        <v>#REF!</v>
      </c>
      <c r="I15" s="841" t="s">
        <v>416</v>
      </c>
      <c r="J15" s="842"/>
      <c r="K15" s="842"/>
      <c r="L15" s="842"/>
      <c r="M15" s="838" t="s">
        <v>417</v>
      </c>
    </row>
    <row r="16" spans="1:19" s="147" customFormat="1" ht="19.5" customHeight="1">
      <c r="A16" s="829"/>
      <c r="B16" s="831"/>
      <c r="C16" s="834"/>
      <c r="D16" s="834"/>
      <c r="E16" s="834"/>
      <c r="F16" s="849"/>
      <c r="G16" s="851"/>
      <c r="H16" s="851"/>
      <c r="I16" s="841" t="s">
        <v>418</v>
      </c>
      <c r="J16" s="842"/>
      <c r="K16" s="842"/>
      <c r="L16" s="842"/>
      <c r="M16" s="839"/>
    </row>
    <row r="17" spans="1:13" s="147" customFormat="1" ht="18" customHeight="1">
      <c r="A17" s="829"/>
      <c r="B17" s="831"/>
      <c r="C17" s="834"/>
      <c r="D17" s="834"/>
      <c r="E17" s="834"/>
      <c r="F17" s="849"/>
      <c r="G17" s="851"/>
      <c r="H17" s="851"/>
      <c r="I17" s="841" t="s">
        <v>419</v>
      </c>
      <c r="J17" s="842"/>
      <c r="K17" s="842"/>
      <c r="L17" s="842"/>
      <c r="M17" s="839"/>
    </row>
    <row r="18" spans="1:13" s="147" customFormat="1" ht="18" customHeight="1">
      <c r="A18" s="829"/>
      <c r="B18" s="831"/>
      <c r="C18" s="834"/>
      <c r="D18" s="834"/>
      <c r="E18" s="834"/>
      <c r="F18" s="849"/>
      <c r="G18" s="851"/>
      <c r="H18" s="851"/>
      <c r="I18" s="841" t="s">
        <v>420</v>
      </c>
      <c r="J18" s="842"/>
      <c r="K18" s="842"/>
      <c r="L18" s="842"/>
      <c r="M18" s="839"/>
    </row>
    <row r="19" spans="1:13" s="147" customFormat="1" ht="18" customHeight="1">
      <c r="A19" s="829"/>
      <c r="B19" s="831"/>
      <c r="C19" s="834"/>
      <c r="D19" s="834"/>
      <c r="E19" s="834"/>
      <c r="F19" s="849"/>
      <c r="G19" s="851"/>
      <c r="H19" s="851"/>
      <c r="I19" s="843" t="s">
        <v>421</v>
      </c>
      <c r="J19" s="844"/>
      <c r="K19" s="844"/>
      <c r="L19" s="844"/>
      <c r="M19" s="839"/>
    </row>
    <row r="20" spans="1:13" s="147" customFormat="1" ht="9" customHeight="1">
      <c r="A20" s="829"/>
      <c r="B20" s="832"/>
      <c r="C20" s="835"/>
      <c r="D20" s="835"/>
      <c r="E20" s="835"/>
      <c r="F20" s="850"/>
      <c r="G20" s="852"/>
      <c r="H20" s="852"/>
      <c r="I20" s="845"/>
      <c r="J20" s="846"/>
      <c r="K20" s="846"/>
      <c r="L20" s="846"/>
      <c r="M20" s="840"/>
    </row>
    <row r="21" spans="1:13" s="147" customFormat="1" ht="27.75" customHeight="1">
      <c r="A21" s="148">
        <v>4</v>
      </c>
      <c r="B21" s="143" t="s">
        <v>593</v>
      </c>
      <c r="C21" s="273">
        <v>1</v>
      </c>
      <c r="D21" s="144" t="s">
        <v>41</v>
      </c>
      <c r="E21" s="140" t="s">
        <v>594</v>
      </c>
      <c r="F21" s="144">
        <v>1</v>
      </c>
      <c r="G21" s="145">
        <v>1000</v>
      </c>
      <c r="H21" s="145">
        <f>F21*G21</f>
        <v>1000</v>
      </c>
      <c r="I21" s="836" t="s">
        <v>414</v>
      </c>
      <c r="J21" s="837"/>
      <c r="K21" s="837"/>
      <c r="L21" s="837"/>
      <c r="M21" s="146" t="s">
        <v>595</v>
      </c>
    </row>
    <row r="22" spans="1:13" s="139" customFormat="1" ht="15" hidden="1" customHeight="1">
      <c r="A22" s="816">
        <v>6</v>
      </c>
      <c r="B22" s="853" t="s">
        <v>422</v>
      </c>
      <c r="C22" s="856">
        <f>'[3]Sheet 1 DSR '!C187</f>
        <v>705</v>
      </c>
      <c r="D22" s="859" t="s">
        <v>41</v>
      </c>
      <c r="E22" s="150" t="s">
        <v>423</v>
      </c>
      <c r="F22" s="151">
        <v>0</v>
      </c>
      <c r="G22" s="152">
        <v>600</v>
      </c>
      <c r="H22" s="152">
        <f t="shared" ref="H22:H27" si="0">F22*G22</f>
        <v>0</v>
      </c>
      <c r="I22" s="862"/>
      <c r="J22" s="863"/>
      <c r="K22" s="863"/>
      <c r="L22" s="863"/>
      <c r="M22" s="149" t="s">
        <v>424</v>
      </c>
    </row>
    <row r="23" spans="1:13" s="139" customFormat="1" ht="26.25" hidden="1" customHeight="1">
      <c r="A23" s="817"/>
      <c r="B23" s="854"/>
      <c r="C23" s="857"/>
      <c r="D23" s="860"/>
      <c r="E23" s="150" t="s">
        <v>425</v>
      </c>
      <c r="F23" s="151">
        <v>0</v>
      </c>
      <c r="G23" s="152">
        <v>1000</v>
      </c>
      <c r="H23" s="152">
        <f t="shared" si="0"/>
        <v>0</v>
      </c>
      <c r="I23" s="862" t="s">
        <v>426</v>
      </c>
      <c r="J23" s="863"/>
      <c r="K23" s="863"/>
      <c r="L23" s="863"/>
      <c r="M23" s="146" t="s">
        <v>427</v>
      </c>
    </row>
    <row r="24" spans="1:13" s="139" customFormat="1" ht="25.5" hidden="1">
      <c r="A24" s="817"/>
      <c r="B24" s="854"/>
      <c r="C24" s="857"/>
      <c r="D24" s="860"/>
      <c r="E24" s="150" t="s">
        <v>428</v>
      </c>
      <c r="F24" s="151">
        <v>0</v>
      </c>
      <c r="G24" s="152">
        <v>1650</v>
      </c>
      <c r="H24" s="152">
        <f t="shared" si="0"/>
        <v>0</v>
      </c>
      <c r="I24" s="862" t="s">
        <v>429</v>
      </c>
      <c r="J24" s="863"/>
      <c r="K24" s="863"/>
      <c r="L24" s="863"/>
      <c r="M24" s="146" t="s">
        <v>430</v>
      </c>
    </row>
    <row r="25" spans="1:13" s="139" customFormat="1" ht="27.75" hidden="1" customHeight="1">
      <c r="A25" s="817"/>
      <c r="B25" s="854"/>
      <c r="C25" s="857"/>
      <c r="D25" s="860"/>
      <c r="E25" s="150" t="s">
        <v>431</v>
      </c>
      <c r="F25" s="151">
        <v>0</v>
      </c>
      <c r="G25" s="152">
        <v>6050</v>
      </c>
      <c r="H25" s="152">
        <f t="shared" si="0"/>
        <v>0</v>
      </c>
      <c r="I25" s="862" t="s">
        <v>426</v>
      </c>
      <c r="J25" s="863"/>
      <c r="K25" s="863"/>
      <c r="L25" s="863"/>
      <c r="M25" s="146" t="s">
        <v>432</v>
      </c>
    </row>
    <row r="26" spans="1:13" s="139" customFormat="1" ht="64.5" hidden="1" customHeight="1">
      <c r="A26" s="817"/>
      <c r="B26" s="854"/>
      <c r="C26" s="857"/>
      <c r="D26" s="860"/>
      <c r="E26" s="150" t="s">
        <v>433</v>
      </c>
      <c r="F26" s="151">
        <v>0</v>
      </c>
      <c r="G26" s="152">
        <v>2300</v>
      </c>
      <c r="H26" s="152">
        <f t="shared" si="0"/>
        <v>0</v>
      </c>
      <c r="I26" s="862" t="s">
        <v>426</v>
      </c>
      <c r="J26" s="863"/>
      <c r="K26" s="863"/>
      <c r="L26" s="863"/>
      <c r="M26" s="146" t="s">
        <v>434</v>
      </c>
    </row>
    <row r="27" spans="1:13" s="139" customFormat="1" ht="30.75" hidden="1" customHeight="1">
      <c r="A27" s="818"/>
      <c r="B27" s="855"/>
      <c r="C27" s="858"/>
      <c r="D27" s="861"/>
      <c r="E27" s="150" t="s">
        <v>435</v>
      </c>
      <c r="F27" s="151">
        <v>0</v>
      </c>
      <c r="G27" s="152">
        <v>1000</v>
      </c>
      <c r="H27" s="152">
        <f t="shared" si="0"/>
        <v>0</v>
      </c>
      <c r="I27" s="862" t="s">
        <v>426</v>
      </c>
      <c r="J27" s="863"/>
      <c r="K27" s="863"/>
      <c r="L27" s="863"/>
      <c r="M27" s="146" t="s">
        <v>436</v>
      </c>
    </row>
    <row r="28" spans="1:13" s="139" customFormat="1" ht="27" customHeight="1">
      <c r="A28" s="870">
        <v>5</v>
      </c>
      <c r="B28" s="873" t="s">
        <v>575</v>
      </c>
      <c r="C28" s="822">
        <f>ROYALTY!I32</f>
        <v>0</v>
      </c>
      <c r="D28" s="816" t="s">
        <v>41</v>
      </c>
      <c r="E28" s="153" t="s">
        <v>599</v>
      </c>
      <c r="F28" s="154">
        <v>1</v>
      </c>
      <c r="G28" s="142">
        <v>2300</v>
      </c>
      <c r="H28" s="142">
        <f t="shared" ref="H28:H33" si="1">F28*G28</f>
        <v>2300</v>
      </c>
      <c r="I28" s="836" t="s">
        <v>438</v>
      </c>
      <c r="J28" s="837"/>
      <c r="K28" s="837"/>
      <c r="L28" s="837"/>
      <c r="M28" s="146" t="s">
        <v>439</v>
      </c>
    </row>
    <row r="29" spans="1:13" s="147" customFormat="1" ht="20.25" customHeight="1">
      <c r="A29" s="871"/>
      <c r="B29" s="874"/>
      <c r="C29" s="823"/>
      <c r="D29" s="817"/>
      <c r="E29" s="140" t="s">
        <v>440</v>
      </c>
      <c r="F29" s="154">
        <v>1</v>
      </c>
      <c r="G29" s="145">
        <v>600</v>
      </c>
      <c r="H29" s="142">
        <f t="shared" si="1"/>
        <v>600</v>
      </c>
      <c r="I29" s="836" t="s">
        <v>438</v>
      </c>
      <c r="J29" s="837"/>
      <c r="K29" s="837"/>
      <c r="L29" s="837"/>
      <c r="M29" s="146" t="s">
        <v>424</v>
      </c>
    </row>
    <row r="30" spans="1:13" s="147" customFormat="1" ht="20.25" customHeight="1">
      <c r="A30" s="872"/>
      <c r="B30" s="874"/>
      <c r="C30" s="824"/>
      <c r="D30" s="818"/>
      <c r="E30" s="140" t="s">
        <v>600</v>
      </c>
      <c r="F30" s="154">
        <v>1</v>
      </c>
      <c r="G30" s="145">
        <v>750</v>
      </c>
      <c r="H30" s="142">
        <f t="shared" si="1"/>
        <v>750</v>
      </c>
      <c r="I30" s="836" t="s">
        <v>438</v>
      </c>
      <c r="J30" s="837"/>
      <c r="K30" s="837"/>
      <c r="L30" s="837"/>
      <c r="M30" s="146" t="s">
        <v>437</v>
      </c>
    </row>
    <row r="31" spans="1:13" s="139" customFormat="1" ht="45" customHeight="1">
      <c r="A31" s="154">
        <v>6</v>
      </c>
      <c r="B31" s="155" t="s">
        <v>441</v>
      </c>
      <c r="C31" s="142">
        <f>Measurment!M131</f>
        <v>132</v>
      </c>
      <c r="D31" s="156" t="s">
        <v>121</v>
      </c>
      <c r="E31" s="140" t="s">
        <v>442</v>
      </c>
      <c r="F31" s="154">
        <f>ROUNDUP(C31/10,0)</f>
        <v>14</v>
      </c>
      <c r="G31" s="142">
        <v>1100</v>
      </c>
      <c r="H31" s="142">
        <f t="shared" si="1"/>
        <v>15400</v>
      </c>
      <c r="I31" s="866" t="s">
        <v>443</v>
      </c>
      <c r="J31" s="866"/>
      <c r="K31" s="866"/>
      <c r="L31" s="825"/>
      <c r="M31" s="146" t="s">
        <v>444</v>
      </c>
    </row>
    <row r="32" spans="1:13" s="139" customFormat="1" ht="39" customHeight="1">
      <c r="A32" s="154">
        <v>7</v>
      </c>
      <c r="B32" s="155" t="s">
        <v>445</v>
      </c>
      <c r="C32" s="142">
        <v>0</v>
      </c>
      <c r="D32" s="154" t="s">
        <v>41</v>
      </c>
      <c r="E32" s="157" t="s">
        <v>601</v>
      </c>
      <c r="F32" s="141">
        <f>C32</f>
        <v>0</v>
      </c>
      <c r="G32" s="142">
        <v>1750</v>
      </c>
      <c r="H32" s="142">
        <f t="shared" si="1"/>
        <v>0</v>
      </c>
      <c r="I32" s="841" t="s">
        <v>446</v>
      </c>
      <c r="J32" s="867"/>
      <c r="K32" s="867"/>
      <c r="L32" s="867"/>
      <c r="M32" s="146" t="s">
        <v>447</v>
      </c>
    </row>
    <row r="33" spans="1:15" s="139" customFormat="1" ht="54.75" customHeight="1">
      <c r="A33" s="154">
        <v>8</v>
      </c>
      <c r="B33" s="158" t="s">
        <v>79</v>
      </c>
      <c r="C33" s="142">
        <v>0</v>
      </c>
      <c r="D33" s="154" t="s">
        <v>41</v>
      </c>
      <c r="E33" s="140" t="s">
        <v>602</v>
      </c>
      <c r="F33" s="141">
        <f>C33</f>
        <v>0</v>
      </c>
      <c r="G33" s="142">
        <v>1900</v>
      </c>
      <c r="H33" s="142">
        <f t="shared" si="1"/>
        <v>0</v>
      </c>
      <c r="I33" s="836" t="s">
        <v>448</v>
      </c>
      <c r="J33" s="837"/>
      <c r="K33" s="837"/>
      <c r="L33" s="837"/>
      <c r="M33" s="146" t="s">
        <v>449</v>
      </c>
    </row>
    <row r="34" spans="1:15" s="139" customFormat="1" ht="12.75" customHeight="1">
      <c r="A34" s="154"/>
      <c r="B34" s="158"/>
      <c r="C34" s="142"/>
      <c r="D34" s="154"/>
      <c r="E34" s="140"/>
      <c r="F34" s="154"/>
      <c r="G34" s="142"/>
      <c r="H34" s="142"/>
      <c r="I34" s="836"/>
      <c r="J34" s="837"/>
      <c r="K34" s="837"/>
      <c r="L34" s="837"/>
      <c r="M34" s="146"/>
    </row>
    <row r="35" spans="1:15" ht="15">
      <c r="A35" s="312"/>
      <c r="B35" s="159"/>
      <c r="C35" s="160"/>
      <c r="D35" s="160"/>
      <c r="E35" s="160"/>
      <c r="F35" s="161" t="s">
        <v>94</v>
      </c>
      <c r="G35" s="162"/>
      <c r="H35" s="163" t="e">
        <f>SUM(H9:H34)</f>
        <v>#REF!</v>
      </c>
      <c r="I35" s="868"/>
      <c r="J35" s="869"/>
      <c r="K35" s="869"/>
      <c r="L35" s="869"/>
      <c r="M35" s="146"/>
    </row>
    <row r="45" spans="1:15" s="346" customFormat="1">
      <c r="A45" s="473"/>
      <c r="B45" s="864" t="s">
        <v>576</v>
      </c>
      <c r="C45" s="864"/>
      <c r="D45" s="864"/>
      <c r="E45" s="864" t="s">
        <v>389</v>
      </c>
      <c r="F45" s="864"/>
      <c r="G45" s="864"/>
      <c r="H45" s="474"/>
      <c r="I45" s="865" t="s">
        <v>390</v>
      </c>
      <c r="J45" s="865"/>
      <c r="K45" s="865"/>
      <c r="L45" s="865"/>
      <c r="M45" s="865"/>
    </row>
    <row r="46" spans="1:15" s="346" customFormat="1">
      <c r="A46" s="473"/>
      <c r="B46" s="864" t="s">
        <v>577</v>
      </c>
      <c r="C46" s="864"/>
      <c r="D46" s="864"/>
      <c r="E46" s="864" t="s">
        <v>391</v>
      </c>
      <c r="F46" s="864"/>
      <c r="G46" s="864"/>
      <c r="I46" s="865" t="s">
        <v>391</v>
      </c>
      <c r="J46" s="865"/>
      <c r="K46" s="865"/>
      <c r="L46" s="865"/>
      <c r="M46" s="865"/>
    </row>
    <row r="47" spans="1:15" customFormat="1" ht="20.25">
      <c r="A47" s="32"/>
      <c r="B47" s="116"/>
      <c r="C47" s="118"/>
      <c r="D47" s="117"/>
      <c r="E47" s="117"/>
      <c r="F47" s="117"/>
      <c r="G47" s="117"/>
      <c r="H47" s="117"/>
      <c r="I47" s="117"/>
      <c r="J47" s="117"/>
      <c r="K47" s="117"/>
      <c r="L47" s="117"/>
      <c r="M47" s="117"/>
      <c r="N47" s="117"/>
      <c r="O47" s="116"/>
    </row>
  </sheetData>
  <mergeCells count="59">
    <mergeCell ref="E46:G46"/>
    <mergeCell ref="A6:M6"/>
    <mergeCell ref="B45:D45"/>
    <mergeCell ref="B46:D46"/>
    <mergeCell ref="I45:M45"/>
    <mergeCell ref="I46:M46"/>
    <mergeCell ref="I31:L31"/>
    <mergeCell ref="I32:L32"/>
    <mergeCell ref="I33:L33"/>
    <mergeCell ref="I34:L34"/>
    <mergeCell ref="I35:L35"/>
    <mergeCell ref="E45:G45"/>
    <mergeCell ref="A28:A30"/>
    <mergeCell ref="B28:B30"/>
    <mergeCell ref="C28:C30"/>
    <mergeCell ref="D28:D30"/>
    <mergeCell ref="I28:L28"/>
    <mergeCell ref="I29:L29"/>
    <mergeCell ref="I30:L30"/>
    <mergeCell ref="I23:L23"/>
    <mergeCell ref="I24:L24"/>
    <mergeCell ref="I25:L25"/>
    <mergeCell ref="I26:L26"/>
    <mergeCell ref="I27:L27"/>
    <mergeCell ref="A22:A27"/>
    <mergeCell ref="B22:B27"/>
    <mergeCell ref="C22:C27"/>
    <mergeCell ref="D22:D27"/>
    <mergeCell ref="I22:L22"/>
    <mergeCell ref="I21:L21"/>
    <mergeCell ref="E15:E20"/>
    <mergeCell ref="F15:F20"/>
    <mergeCell ref="G15:G20"/>
    <mergeCell ref="H15:H20"/>
    <mergeCell ref="I15:L15"/>
    <mergeCell ref="M15:M20"/>
    <mergeCell ref="I16:L16"/>
    <mergeCell ref="I17:L17"/>
    <mergeCell ref="I18:L18"/>
    <mergeCell ref="I19:L20"/>
    <mergeCell ref="I13:L13"/>
    <mergeCell ref="A14:A20"/>
    <mergeCell ref="B14:B20"/>
    <mergeCell ref="C14:C20"/>
    <mergeCell ref="I14:L14"/>
    <mergeCell ref="D15:D20"/>
    <mergeCell ref="A10:A12"/>
    <mergeCell ref="B10:B12"/>
    <mergeCell ref="C10:C12"/>
    <mergeCell ref="D10:D12"/>
    <mergeCell ref="I10:L10"/>
    <mergeCell ref="I11:L11"/>
    <mergeCell ref="I12:L12"/>
    <mergeCell ref="I9:L9"/>
    <mergeCell ref="A1:L1"/>
    <mergeCell ref="A2:L2"/>
    <mergeCell ref="A3:E3"/>
    <mergeCell ref="A5:L5"/>
    <mergeCell ref="I8:L8"/>
  </mergeCells>
  <pageMargins left="0.55000000000000004" right="0.22" top="0.36" bottom="0.32" header="0.3" footer="0.17"/>
  <pageSetup paperSize="9" scale="85"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65"/>
  <sheetViews>
    <sheetView view="pageBreakPreview" zoomScale="90" zoomScaleNormal="100" zoomScaleSheetLayoutView="90" workbookViewId="0">
      <selection activeCell="B28" sqref="B28"/>
    </sheetView>
  </sheetViews>
  <sheetFormatPr defaultRowHeight="12.75"/>
  <cols>
    <col min="1" max="1" width="5.85546875" style="589" customWidth="1"/>
    <col min="2" max="2" width="37.28515625" style="663" customWidth="1"/>
    <col min="3" max="3" width="11.5703125" style="625" customWidth="1"/>
    <col min="4" max="4" width="6.7109375" style="625" customWidth="1"/>
    <col min="5" max="5" width="9.28515625" style="625" customWidth="1"/>
    <col min="6" max="6" width="6.7109375" style="625" customWidth="1"/>
    <col min="7" max="7" width="7.5703125" style="625" customWidth="1"/>
    <col min="8" max="8" width="6.5703125" style="625" customWidth="1"/>
    <col min="9" max="9" width="7.5703125" style="625" customWidth="1"/>
    <col min="10" max="10" width="6" style="625" customWidth="1"/>
    <col min="11" max="11" width="8.140625" style="625" customWidth="1"/>
    <col min="12" max="12" width="5.7109375" style="625" customWidth="1"/>
    <col min="13" max="13" width="7.28515625" style="625" customWidth="1"/>
    <col min="14" max="14" width="11.7109375" style="589" customWidth="1"/>
    <col min="15" max="15" width="12.7109375" style="589" customWidth="1"/>
    <col min="16" max="16384" width="9.140625" style="589"/>
  </cols>
  <sheetData>
    <row r="1" spans="1:14">
      <c r="A1" s="864" t="str">
        <f>Measurment!B1</f>
        <v xml:space="preserve">SHREE MAHAGANPATI AGRO PRODUCER COMPANY LIMITED </v>
      </c>
      <c r="B1" s="864"/>
      <c r="C1" s="864"/>
      <c r="D1" s="864"/>
      <c r="E1" s="864"/>
      <c r="F1" s="864"/>
      <c r="G1" s="864"/>
      <c r="H1" s="864"/>
      <c r="I1" s="864"/>
      <c r="J1" s="864"/>
      <c r="K1" s="864"/>
      <c r="L1" s="864"/>
      <c r="M1" s="864"/>
      <c r="N1" s="864"/>
    </row>
    <row r="2" spans="1:14">
      <c r="A2" s="875" t="str">
        <f>Measurment!B2</f>
        <v>A/P-THANAPUDE  TAL. WALWA, DIST. SANGLI.</v>
      </c>
      <c r="B2" s="875"/>
      <c r="C2" s="875"/>
      <c r="D2" s="875"/>
      <c r="E2" s="875"/>
      <c r="F2" s="875"/>
      <c r="G2" s="875"/>
      <c r="H2" s="875"/>
      <c r="I2" s="875"/>
      <c r="J2" s="875"/>
      <c r="K2" s="875"/>
      <c r="L2" s="875"/>
      <c r="M2" s="875"/>
      <c r="N2" s="875"/>
    </row>
    <row r="3" spans="1:14">
      <c r="A3" s="723"/>
      <c r="B3" s="723"/>
      <c r="C3" s="723"/>
      <c r="D3" s="723"/>
      <c r="E3" s="723"/>
      <c r="F3" s="723"/>
      <c r="G3" s="723"/>
      <c r="H3" s="723"/>
      <c r="I3" s="723"/>
      <c r="J3" s="723"/>
      <c r="K3" s="723"/>
      <c r="L3" s="723"/>
      <c r="M3" s="723"/>
      <c r="N3" s="723"/>
    </row>
    <row r="4" spans="1:14" ht="47.25" customHeight="1">
      <c r="A4" s="876" t="str">
        <f>Measurment!B4</f>
        <v>NAME OF WORK : PROPOSED NEW CONSTRUCTON WORK OF STORAGE PACK HOUSE  OF SHREE MAHAGANPATI  AGRO PRODUCER COMPANY LIMITED,     IN GAT  NO.121.  A/P-THANAPUDE   TAL. WALWA, DIST. SANGLI.</v>
      </c>
      <c r="B4" s="876"/>
      <c r="C4" s="876"/>
      <c r="D4" s="876"/>
      <c r="E4" s="876"/>
      <c r="F4" s="876"/>
      <c r="G4" s="876"/>
      <c r="H4" s="876"/>
      <c r="I4" s="876"/>
      <c r="J4" s="876"/>
      <c r="K4" s="876"/>
      <c r="L4" s="876"/>
      <c r="M4" s="876"/>
      <c r="N4" s="876"/>
    </row>
    <row r="5" spans="1:14" ht="15" customHeight="1">
      <c r="B5" s="591"/>
      <c r="C5" s="592"/>
      <c r="D5" s="592"/>
      <c r="E5" s="592"/>
      <c r="F5" s="592"/>
      <c r="G5" s="592"/>
      <c r="H5" s="592"/>
      <c r="I5" s="592"/>
      <c r="J5" s="592"/>
      <c r="K5" s="592"/>
      <c r="L5" s="592"/>
      <c r="M5" s="592"/>
      <c r="N5" s="593"/>
    </row>
    <row r="6" spans="1:14">
      <c r="B6" s="877" t="s">
        <v>644</v>
      </c>
      <c r="C6" s="877"/>
      <c r="D6" s="877"/>
      <c r="E6" s="877"/>
      <c r="F6" s="877"/>
      <c r="G6" s="877"/>
      <c r="H6" s="877"/>
      <c r="I6" s="877"/>
      <c r="J6" s="877"/>
      <c r="K6" s="877"/>
      <c r="L6" s="877"/>
      <c r="M6" s="877"/>
      <c r="N6" s="877"/>
    </row>
    <row r="7" spans="1:14" ht="10.5" customHeight="1" thickBot="1">
      <c r="A7" s="594"/>
      <c r="B7" s="595"/>
      <c r="C7" s="596"/>
      <c r="D7" s="596"/>
      <c r="E7" s="596"/>
      <c r="F7" s="596"/>
      <c r="G7" s="596"/>
      <c r="H7" s="596"/>
      <c r="I7" s="596"/>
      <c r="J7" s="596"/>
      <c r="K7" s="596"/>
      <c r="L7" s="596"/>
      <c r="M7" s="596"/>
      <c r="N7" s="594"/>
    </row>
    <row r="8" spans="1:14" s="597" customFormat="1" ht="13.5" thickBot="1">
      <c r="A8" s="878" t="s">
        <v>372</v>
      </c>
      <c r="B8" s="880" t="s">
        <v>373</v>
      </c>
      <c r="C8" s="882" t="s">
        <v>374</v>
      </c>
      <c r="D8" s="884" t="s">
        <v>375</v>
      </c>
      <c r="E8" s="885"/>
      <c r="F8" s="886"/>
      <c r="G8" s="886"/>
      <c r="H8" s="885"/>
      <c r="I8" s="885"/>
      <c r="J8" s="886"/>
      <c r="K8" s="886"/>
      <c r="L8" s="885"/>
      <c r="M8" s="885"/>
      <c r="N8" s="887" t="s">
        <v>376</v>
      </c>
    </row>
    <row r="9" spans="1:14" s="597" customFormat="1" ht="34.5" customHeight="1" thickBot="1">
      <c r="A9" s="879"/>
      <c r="B9" s="881"/>
      <c r="C9" s="883"/>
      <c r="D9" s="889" t="s">
        <v>377</v>
      </c>
      <c r="E9" s="890"/>
      <c r="F9" s="891" t="s">
        <v>100</v>
      </c>
      <c r="G9" s="892"/>
      <c r="H9" s="889" t="s">
        <v>378</v>
      </c>
      <c r="I9" s="890"/>
      <c r="J9" s="891" t="s">
        <v>379</v>
      </c>
      <c r="K9" s="892"/>
      <c r="L9" s="889" t="s">
        <v>572</v>
      </c>
      <c r="M9" s="893"/>
      <c r="N9" s="888"/>
    </row>
    <row r="10" spans="1:14" s="597" customFormat="1">
      <c r="A10" s="598">
        <v>1</v>
      </c>
      <c r="B10" s="599">
        <v>2</v>
      </c>
      <c r="C10" s="600">
        <v>3</v>
      </c>
      <c r="D10" s="894">
        <v>4</v>
      </c>
      <c r="E10" s="895"/>
      <c r="F10" s="894">
        <v>5</v>
      </c>
      <c r="G10" s="895"/>
      <c r="H10" s="894">
        <v>6</v>
      </c>
      <c r="I10" s="895"/>
      <c r="J10" s="894">
        <v>7</v>
      </c>
      <c r="K10" s="895"/>
      <c r="L10" s="894">
        <v>8</v>
      </c>
      <c r="M10" s="895"/>
      <c r="N10" s="601">
        <v>9</v>
      </c>
    </row>
    <row r="11" spans="1:14" s="594" customFormat="1" ht="14.25" customHeight="1">
      <c r="A11" s="602">
        <f>Measurment!A28</f>
        <v>3</v>
      </c>
      <c r="B11" s="603" t="s">
        <v>685</v>
      </c>
      <c r="C11" s="604">
        <f>Measurment!M35</f>
        <v>7</v>
      </c>
      <c r="D11" s="605"/>
      <c r="E11" s="605"/>
      <c r="F11" s="605">
        <v>0.42499999999999999</v>
      </c>
      <c r="G11" s="605">
        <f>F11*C11</f>
        <v>2.9750000000000001</v>
      </c>
      <c r="H11" s="606"/>
      <c r="I11" s="606"/>
      <c r="J11" s="606"/>
      <c r="K11" s="607"/>
      <c r="L11" s="606"/>
      <c r="M11" s="606"/>
      <c r="N11" s="606"/>
    </row>
    <row r="12" spans="1:14" s="597" customFormat="1" ht="14.25" customHeight="1">
      <c r="A12" s="602"/>
      <c r="B12" s="608"/>
      <c r="C12" s="608"/>
      <c r="D12" s="608"/>
      <c r="E12" s="608"/>
      <c r="F12" s="608"/>
      <c r="G12" s="608"/>
      <c r="H12" s="608"/>
      <c r="I12" s="608"/>
      <c r="J12" s="608"/>
      <c r="K12" s="608"/>
      <c r="L12" s="608"/>
      <c r="M12" s="608"/>
      <c r="N12" s="602"/>
    </row>
    <row r="13" spans="1:14" s="594" customFormat="1" ht="14.25" customHeight="1">
      <c r="A13" s="602">
        <f>Measurment!A37</f>
        <v>4</v>
      </c>
      <c r="B13" s="603" t="str">
        <f>Measurment!B37</f>
        <v>Providing and laying Cast in situ/Ready Mix cement concrete M-20 of trap / granite /quartzite/ gneiss metal for R.C.C. work in foundations like raft, strip foundations, grillage and footings of R.C.C. columns and steel stanchions etc. including bailing out water, Steel centering, formwork ,cover blocks, laying/pumping, compaction and curing roughening the surface if special finish is to be provided (Excluding reinforcement and structural steel) etc. complete, with fully automatic micro processor based PLC with SCADA enabled reversible Drum Type mixer/ concrete Batch mix plant (Pan mixer) etc. complete. With fine aggregate (Natural Sand / Crushed sand VSI Grade finely washed etc</v>
      </c>
      <c r="C13" s="604">
        <f>Measurment!M40</f>
        <v>9.0719999999999992</v>
      </c>
      <c r="D13" s="605"/>
      <c r="E13" s="605"/>
      <c r="F13" s="605">
        <v>0.42499999999999999</v>
      </c>
      <c r="G13" s="605">
        <f>F13*C13</f>
        <v>3.8555999999999995</v>
      </c>
      <c r="H13" s="606"/>
      <c r="I13" s="606"/>
      <c r="J13" s="606"/>
      <c r="K13" s="607"/>
      <c r="L13" s="606"/>
      <c r="M13" s="606"/>
      <c r="N13" s="606"/>
    </row>
    <row r="14" spans="1:14" s="597" customFormat="1" ht="14.25" customHeight="1">
      <c r="A14" s="602"/>
      <c r="B14" s="608"/>
      <c r="C14" s="608"/>
      <c r="D14" s="608"/>
      <c r="E14" s="608"/>
      <c r="F14" s="608"/>
      <c r="G14" s="608"/>
      <c r="H14" s="608"/>
      <c r="I14" s="608"/>
      <c r="J14" s="608"/>
      <c r="K14" s="608"/>
      <c r="L14" s="608"/>
      <c r="M14" s="608"/>
      <c r="N14" s="602"/>
    </row>
    <row r="15" spans="1:14" s="594" customFormat="1" ht="14.25" customHeight="1">
      <c r="A15" s="602">
        <f>Measurment!A42</f>
        <v>5</v>
      </c>
      <c r="B15" s="603" t="str">
        <f>Measurment!B42</f>
        <v>Providing and laying Cast in situ/Ready Mix cement concrete M-20 of trap / granite /quartzite/ gneiss metal for R.C.C. columns as per detailed designs and drawings or as directed including steel centering, formwork, cover blocks compacting and roughening if special finish is to be provided and curing etc. complete. (Excluding reinforcement and structural steel).with fully automatic micro processor based PLC with SCADA enabled reversible Drum Type mixer/ concrete Batch mix plant (Pan mixer) etc. complete. With fine aggregate (Natural Sand / Crushed sand VSI Grade finely washed etc)</v>
      </c>
      <c r="C15" s="604">
        <f>Measurment!M45</f>
        <v>4.83</v>
      </c>
      <c r="D15" s="605"/>
      <c r="E15" s="605"/>
      <c r="F15" s="605">
        <v>0.42499999999999999</v>
      </c>
      <c r="G15" s="605">
        <f>F15*C15</f>
        <v>2.0527500000000001</v>
      </c>
      <c r="H15" s="606"/>
      <c r="I15" s="606"/>
      <c r="J15" s="606"/>
      <c r="K15" s="607"/>
      <c r="L15" s="606"/>
      <c r="M15" s="606"/>
      <c r="N15" s="606"/>
    </row>
    <row r="16" spans="1:14" s="597" customFormat="1" ht="14.25" customHeight="1">
      <c r="A16" s="602"/>
      <c r="B16" s="608"/>
      <c r="C16" s="608"/>
      <c r="D16" s="608"/>
      <c r="E16" s="608"/>
      <c r="F16" s="608"/>
      <c r="G16" s="608"/>
      <c r="H16" s="608"/>
      <c r="I16" s="608"/>
      <c r="J16" s="608"/>
      <c r="K16" s="608"/>
      <c r="L16" s="608"/>
      <c r="M16" s="608"/>
      <c r="N16" s="602"/>
    </row>
    <row r="17" spans="1:29" s="594" customFormat="1" ht="14.25" customHeight="1">
      <c r="A17" s="602">
        <f>Measurment!A47</f>
        <v>6</v>
      </c>
      <c r="B17" s="603" t="str">
        <f>Measurment!B47</f>
        <v xml:space="preserve"> Providing and laying Cast in situ/Ready Mix cement concrete M-20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 with fully automatic micro processor based PLC with SCADA enabled reversible Drum Type mixer/ concrete Batch mix plant (Pan mixer) etc. complete. With fine aggregate (Natural Sand / Crushed sand VSI Grade finely washed etc).... (INo25-50, PgNo 234) (STATE SSR ) Item Spec: (Bd.F.6 Page No. 300 and B.7, Page No.38)</v>
      </c>
      <c r="C17" s="604">
        <f>Measurment!M52</f>
        <v>5.6938800000000001</v>
      </c>
      <c r="D17" s="605"/>
      <c r="E17" s="605"/>
      <c r="F17" s="605">
        <v>0.42499999999999999</v>
      </c>
      <c r="G17" s="605">
        <f>F17*C17</f>
        <v>2.419899</v>
      </c>
      <c r="H17" s="606"/>
      <c r="I17" s="606"/>
      <c r="J17" s="606"/>
      <c r="K17" s="607"/>
      <c r="L17" s="606"/>
      <c r="M17" s="606"/>
      <c r="N17" s="606"/>
    </row>
    <row r="18" spans="1:29" s="597" customFormat="1" ht="14.25" customHeight="1">
      <c r="A18" s="602"/>
      <c r="B18" s="603"/>
      <c r="C18" s="608"/>
      <c r="D18" s="608"/>
      <c r="E18" s="608"/>
      <c r="F18" s="605"/>
      <c r="G18" s="605"/>
      <c r="H18" s="608"/>
      <c r="I18" s="608"/>
      <c r="J18" s="608"/>
      <c r="K18" s="608"/>
      <c r="L18" s="608"/>
      <c r="M18" s="608"/>
      <c r="N18" s="602"/>
    </row>
    <row r="19" spans="1:29" s="597" customFormat="1" ht="14.25" customHeight="1">
      <c r="A19" s="602">
        <v>7</v>
      </c>
      <c r="B19" s="603" t="str">
        <f>Measurment!B48</f>
        <v>BEAMS AT  GL</v>
      </c>
      <c r="C19" s="608">
        <v>2.0299999999999998</v>
      </c>
      <c r="D19" s="608"/>
      <c r="E19" s="608"/>
      <c r="F19" s="605">
        <v>2.4249999999999998</v>
      </c>
      <c r="G19" s="605">
        <f t="shared" ref="G19" si="0">F19*C19</f>
        <v>4.9227499999999988</v>
      </c>
      <c r="H19" s="608"/>
      <c r="I19" s="608"/>
      <c r="J19" s="608"/>
      <c r="K19" s="608"/>
      <c r="L19" s="608"/>
      <c r="M19" s="608"/>
      <c r="N19" s="602"/>
    </row>
    <row r="20" spans="1:29" s="597" customFormat="1" ht="14.25" customHeight="1">
      <c r="A20" s="602"/>
      <c r="B20" s="608"/>
      <c r="C20" s="608"/>
      <c r="D20" s="608"/>
      <c r="E20" s="608"/>
      <c r="F20" s="608"/>
      <c r="G20" s="608"/>
      <c r="H20" s="608"/>
      <c r="I20" s="608"/>
      <c r="J20" s="608"/>
      <c r="K20" s="608"/>
      <c r="L20" s="608"/>
      <c r="M20" s="608"/>
      <c r="N20" s="602"/>
    </row>
    <row r="21" spans="1:29" s="594" customFormat="1" ht="14.25" customHeight="1">
      <c r="A21" s="602">
        <f>Measurment!A70</f>
        <v>9</v>
      </c>
      <c r="B21" s="603" t="str">
        <f>Measurment!B70</f>
        <v>Providing second class Burnt Brick masonry with conventional/ I.S. type bricks in cement mortar 1:6 in foundations and plinth of inner walls/ in plinth external walls including bailing out water manually , striking joints on unexposed faces, raking out joints on exposed faces and watering etc. Complete.</v>
      </c>
      <c r="C21" s="604">
        <v>32</v>
      </c>
      <c r="D21" s="605"/>
      <c r="E21" s="605"/>
      <c r="F21" s="605">
        <v>0.32</v>
      </c>
      <c r="G21" s="605">
        <f>F21*C21</f>
        <v>10.24</v>
      </c>
      <c r="H21" s="606"/>
      <c r="I21" s="606"/>
      <c r="J21" s="606"/>
      <c r="K21" s="607"/>
      <c r="L21" s="606"/>
      <c r="M21" s="606"/>
      <c r="N21" s="606"/>
    </row>
    <row r="22" spans="1:29" s="594" customFormat="1" ht="14.25" customHeight="1">
      <c r="A22" s="602"/>
      <c r="B22" s="609"/>
      <c r="C22" s="604"/>
      <c r="D22" s="605"/>
      <c r="E22" s="605"/>
      <c r="F22" s="605"/>
      <c r="G22" s="605"/>
      <c r="H22" s="606"/>
      <c r="I22" s="606"/>
      <c r="J22" s="606"/>
      <c r="K22" s="607"/>
      <c r="L22" s="606"/>
      <c r="M22" s="606"/>
      <c r="N22" s="606"/>
    </row>
    <row r="23" spans="1:29" s="594" customFormat="1" ht="14.25" customHeight="1">
      <c r="A23" s="602">
        <f>Measurment!A89</f>
        <v>11</v>
      </c>
      <c r="B23" s="603" t="str">
        <f>Measurment!B89</f>
        <v xml:space="preserve"> Filling in plinth and floors with contractors material/brought from outside and approved by Engineer incharge in layers of 15cm, to 20cm, including watering and compaction etc. complete.....(IN021-37, PgNo 201) (STATE SSR ) Item Spec. (Bd. A.11 Page No. 283)</v>
      </c>
      <c r="C23" s="604">
        <v>57.49</v>
      </c>
      <c r="D23" s="605"/>
      <c r="E23" s="605"/>
      <c r="F23" s="605"/>
      <c r="G23" s="605"/>
      <c r="H23" s="606"/>
      <c r="I23" s="606"/>
      <c r="J23" s="606">
        <v>1</v>
      </c>
      <c r="K23" s="607">
        <f>J23*C23</f>
        <v>57.49</v>
      </c>
      <c r="L23" s="606"/>
      <c r="M23" s="606"/>
      <c r="N23" s="606"/>
    </row>
    <row r="24" spans="1:29" s="594" customFormat="1" ht="14.25" customHeight="1">
      <c r="A24" s="602"/>
      <c r="B24" s="609"/>
      <c r="C24" s="604"/>
      <c r="D24" s="604"/>
      <c r="E24" s="604"/>
      <c r="F24" s="604"/>
      <c r="G24" s="604"/>
      <c r="H24" s="602"/>
      <c r="I24" s="604"/>
      <c r="J24" s="602"/>
      <c r="K24" s="602"/>
      <c r="L24" s="602"/>
      <c r="M24" s="602"/>
      <c r="N24" s="602"/>
      <c r="O24" s="610"/>
    </row>
    <row r="25" spans="1:29" s="594" customFormat="1" ht="14.25" customHeight="1">
      <c r="A25" s="602">
        <f>Measurment!A96</f>
        <v>12</v>
      </c>
      <c r="B25" s="603" t="str">
        <f>Measurment!B96</f>
        <v>Providing soling using 80 mm size trap metal in 15 cm. layer including filling voids with Crushed sand/grit, ramming, watering etc. Complete</v>
      </c>
      <c r="C25" s="604">
        <v>17</v>
      </c>
      <c r="D25" s="605"/>
      <c r="E25" s="605"/>
      <c r="F25" s="605"/>
      <c r="G25" s="605"/>
      <c r="H25" s="606"/>
      <c r="I25" s="606"/>
      <c r="J25" s="606"/>
      <c r="K25" s="607"/>
      <c r="L25" s="606">
        <v>1.2</v>
      </c>
      <c r="M25" s="606">
        <f>L25*C25</f>
        <v>20.399999999999999</v>
      </c>
      <c r="N25" s="606"/>
    </row>
    <row r="26" spans="1:29" s="594" customFormat="1" ht="14.25" customHeight="1">
      <c r="A26" s="602"/>
      <c r="B26" s="609"/>
      <c r="C26" s="604"/>
      <c r="D26" s="604"/>
      <c r="E26" s="604"/>
      <c r="F26" s="611"/>
      <c r="G26" s="602"/>
      <c r="H26" s="602"/>
      <c r="I26" s="604"/>
      <c r="J26" s="602"/>
      <c r="K26" s="602"/>
      <c r="L26" s="602"/>
      <c r="M26" s="602"/>
      <c r="N26" s="602"/>
      <c r="O26" s="610"/>
    </row>
    <row r="27" spans="1:29" s="594" customFormat="1" ht="14.25" customHeight="1">
      <c r="A27" s="602">
        <f>Measurment!A103</f>
        <v>13</v>
      </c>
      <c r="B27" s="603" t="str">
        <f>Measurment!B103</f>
        <v xml:space="preserve"> Providing internal cement plaster 12mm thick in single coat in cement mortar 1:4 without neeru finish to concrete or brick surfaces, in all positions including scaffolding and curing etc. complete....(INo32-04. PgNo 268) ( STATE SSR ) Item Spec: (Bd. L.2 Page No. 368)</v>
      </c>
      <c r="C27" s="604">
        <f>Measurment!M114</f>
        <v>132</v>
      </c>
      <c r="D27" s="605"/>
      <c r="E27" s="605"/>
      <c r="F27" s="605">
        <v>1.4999999999999999E-2</v>
      </c>
      <c r="G27" s="605">
        <f>F27*C27</f>
        <v>1.98</v>
      </c>
      <c r="H27" s="606"/>
      <c r="I27" s="606"/>
      <c r="J27" s="606"/>
      <c r="K27" s="607"/>
      <c r="L27" s="606"/>
      <c r="M27" s="606"/>
      <c r="N27" s="606"/>
    </row>
    <row r="28" spans="1:29" s="594" customFormat="1" ht="14.25" customHeight="1">
      <c r="A28" s="602"/>
      <c r="B28" s="612"/>
      <c r="C28" s="604"/>
      <c r="D28" s="604"/>
      <c r="E28" s="604"/>
      <c r="F28" s="611"/>
      <c r="G28" s="604"/>
      <c r="H28" s="602"/>
      <c r="I28" s="604"/>
      <c r="J28" s="602"/>
      <c r="K28" s="602"/>
      <c r="L28" s="602"/>
      <c r="M28" s="602"/>
      <c r="N28" s="602"/>
      <c r="O28" s="610"/>
      <c r="T28" s="613"/>
    </row>
    <row r="29" spans="1:29" s="594" customFormat="1" ht="14.25" customHeight="1">
      <c r="A29" s="602">
        <f>Measurment!A116</f>
        <v>14</v>
      </c>
      <c r="B29" s="603" t="str">
        <f>Measurment!B116</f>
        <v xml:space="preserve"> Providing sand faced plaster externally in cement mortar using approved screened sand, in all positions including base coat of 15 mm thick in cement mortar 1:4 using waterproofing compound at 1 kg per cement bag curing the same for not less than 2 days and keeping the surface of the base coat rough to receive the sand faced treatment 6 to 8 mm thick in cement mortar 1:4 finishing the surface by taking out grains and curing for fourteen days scaffolding etc.complete.....(INo32-11, PgNo 269) ( STATE SSR ) Item Spec: (Bd.L.7 Page No. 369)</v>
      </c>
      <c r="C29" s="604">
        <f>Measurment!M125</f>
        <v>193</v>
      </c>
      <c r="D29" s="605"/>
      <c r="E29" s="605"/>
      <c r="F29" s="605">
        <v>3.3000000000000002E-2</v>
      </c>
      <c r="G29" s="605">
        <f>F29*C29</f>
        <v>6.3690000000000007</v>
      </c>
      <c r="H29" s="606"/>
      <c r="I29" s="606"/>
      <c r="J29" s="606"/>
      <c r="K29" s="607"/>
      <c r="L29" s="606"/>
      <c r="M29" s="606"/>
      <c r="N29" s="606"/>
    </row>
    <row r="30" spans="1:29" s="594" customFormat="1" ht="9" customHeight="1">
      <c r="A30" s="602"/>
      <c r="B30" s="612"/>
      <c r="C30" s="604"/>
      <c r="D30" s="604"/>
      <c r="E30" s="604"/>
      <c r="F30" s="611"/>
      <c r="G30" s="604"/>
      <c r="H30" s="602"/>
      <c r="I30" s="604"/>
      <c r="J30" s="602"/>
      <c r="K30" s="602"/>
      <c r="L30" s="602"/>
      <c r="M30" s="602"/>
      <c r="N30" s="602"/>
      <c r="O30" s="610"/>
      <c r="S30" s="614"/>
      <c r="T30" s="614"/>
      <c r="U30" s="614"/>
      <c r="V30" s="614"/>
      <c r="W30" s="614"/>
      <c r="X30" s="614"/>
      <c r="Y30" s="614"/>
      <c r="Z30" s="614"/>
      <c r="AA30" s="614"/>
      <c r="AB30" s="614"/>
      <c r="AC30" s="614"/>
    </row>
    <row r="31" spans="1:29" s="594" customFormat="1" ht="18" customHeight="1" thickBot="1">
      <c r="A31" s="615"/>
      <c r="B31" s="616"/>
      <c r="C31" s="617"/>
      <c r="D31" s="617"/>
      <c r="E31" s="617"/>
      <c r="F31" s="618"/>
      <c r="G31" s="617"/>
      <c r="H31" s="615"/>
      <c r="I31" s="615"/>
      <c r="J31" s="617"/>
      <c r="K31" s="617"/>
      <c r="L31" s="615"/>
      <c r="M31" s="615"/>
      <c r="N31" s="615"/>
      <c r="O31" s="610"/>
    </row>
    <row r="32" spans="1:29" ht="20.25" customHeight="1" thickBot="1">
      <c r="A32" s="619"/>
      <c r="B32" s="620"/>
      <c r="C32" s="621" t="s">
        <v>9</v>
      </c>
      <c r="D32" s="622"/>
      <c r="E32" s="623">
        <f>SUM(E21:E30)</f>
        <v>0</v>
      </c>
      <c r="F32" s="623"/>
      <c r="G32" s="623">
        <f>ROUND(SUM(G11:G30),2)</f>
        <v>34.81</v>
      </c>
      <c r="H32" s="623"/>
      <c r="I32" s="623">
        <f>ROUND(SUM(I10:I30),2)</f>
        <v>0</v>
      </c>
      <c r="J32" s="623"/>
      <c r="K32" s="623">
        <f>ROUND(SUM(K11:K31),2)</f>
        <v>57.49</v>
      </c>
      <c r="L32" s="623"/>
      <c r="M32" s="623">
        <f>ROUND(SUM(M12:M31),2)</f>
        <v>20.399999999999999</v>
      </c>
      <c r="N32" s="624"/>
      <c r="O32" s="610"/>
    </row>
    <row r="33" spans="1:15" ht="17.25" customHeight="1">
      <c r="A33" s="594"/>
      <c r="B33" s="595"/>
      <c r="C33" s="596"/>
      <c r="D33" s="596"/>
      <c r="E33" s="596"/>
      <c r="F33" s="596"/>
      <c r="G33" s="596"/>
      <c r="H33" s="596"/>
      <c r="I33" s="596"/>
      <c r="J33" s="596"/>
      <c r="K33" s="596"/>
      <c r="O33" s="594"/>
    </row>
    <row r="34" spans="1:15" ht="17.25" customHeight="1">
      <c r="A34" s="594"/>
      <c r="B34" s="595"/>
      <c r="C34" s="596"/>
      <c r="D34" s="596"/>
      <c r="E34" s="596"/>
      <c r="F34" s="596"/>
      <c r="G34" s="596"/>
      <c r="H34" s="596"/>
      <c r="I34" s="596"/>
      <c r="J34" s="596"/>
      <c r="K34" s="596"/>
      <c r="O34" s="594"/>
    </row>
    <row r="35" spans="1:15" ht="14.25" customHeight="1">
      <c r="A35" s="594"/>
      <c r="B35" s="595"/>
      <c r="C35" s="596"/>
      <c r="D35" s="596"/>
      <c r="E35" s="596"/>
      <c r="F35" s="596"/>
      <c r="G35" s="596"/>
      <c r="K35" s="596"/>
      <c r="L35" s="596"/>
      <c r="M35" s="596"/>
    </row>
    <row r="36" spans="1:15" ht="14.25" customHeight="1">
      <c r="A36" s="594"/>
      <c r="B36" s="595"/>
      <c r="C36" s="596"/>
      <c r="D36" s="596"/>
      <c r="E36" s="596"/>
      <c r="F36" s="596"/>
      <c r="G36" s="596"/>
      <c r="K36" s="596"/>
      <c r="L36" s="596"/>
      <c r="M36" s="596"/>
    </row>
    <row r="37" spans="1:15" ht="14.25" customHeight="1">
      <c r="A37" s="594"/>
      <c r="B37" s="595"/>
      <c r="C37" s="596"/>
      <c r="D37" s="596"/>
      <c r="E37" s="596"/>
      <c r="F37" s="596"/>
      <c r="G37" s="596"/>
      <c r="K37" s="596"/>
      <c r="L37" s="596"/>
      <c r="M37" s="596"/>
    </row>
    <row r="38" spans="1:15" ht="14.25" customHeight="1">
      <c r="A38" s="594"/>
      <c r="B38" s="595"/>
      <c r="C38" s="596"/>
      <c r="D38" s="596"/>
      <c r="E38" s="596"/>
      <c r="F38" s="596"/>
      <c r="G38" s="596"/>
      <c r="K38" s="596"/>
      <c r="L38" s="596"/>
      <c r="M38" s="596"/>
    </row>
    <row r="39" spans="1:15">
      <c r="A39" s="864" t="str">
        <f>A1</f>
        <v xml:space="preserve">SHREE MAHAGANPATI AGRO PRODUCER COMPANY LIMITED </v>
      </c>
      <c r="B39" s="864"/>
      <c r="C39" s="864"/>
      <c r="D39" s="864"/>
      <c r="E39" s="864"/>
      <c r="F39" s="864"/>
      <c r="G39" s="864"/>
      <c r="H39" s="864"/>
      <c r="I39" s="864"/>
      <c r="J39" s="864"/>
      <c r="K39" s="864"/>
      <c r="L39" s="864"/>
      <c r="M39" s="864"/>
      <c r="N39" s="864"/>
    </row>
    <row r="40" spans="1:15">
      <c r="A40" s="875" t="str">
        <f>A2</f>
        <v>A/P-THANAPUDE  TAL. WALWA, DIST. SANGLI.</v>
      </c>
      <c r="B40" s="875"/>
      <c r="C40" s="875"/>
      <c r="D40" s="875"/>
      <c r="E40" s="875"/>
      <c r="F40" s="875"/>
      <c r="G40" s="875"/>
      <c r="H40" s="875"/>
      <c r="I40" s="875"/>
      <c r="J40" s="875"/>
      <c r="K40" s="875"/>
      <c r="L40" s="875"/>
      <c r="M40" s="875"/>
      <c r="N40" s="875"/>
    </row>
    <row r="41" spans="1:15">
      <c r="A41" s="590"/>
      <c r="B41" s="590"/>
      <c r="C41" s="590"/>
      <c r="D41" s="590"/>
      <c r="E41" s="590"/>
      <c r="F41" s="590"/>
      <c r="G41" s="590"/>
      <c r="H41" s="590"/>
      <c r="I41" s="590"/>
      <c r="J41" s="590"/>
      <c r="K41" s="590"/>
      <c r="L41" s="590"/>
      <c r="M41" s="590"/>
      <c r="N41" s="590"/>
    </row>
    <row r="42" spans="1:15" ht="49.5" customHeight="1">
      <c r="A42" s="876" t="str">
        <f>A4</f>
        <v>NAME OF WORK : PROPOSED NEW CONSTRUCTON WORK OF STORAGE PACK HOUSE  OF SHREE MAHAGANPATI  AGRO PRODUCER COMPANY LIMITED,     IN GAT  NO.121.  A/P-THANAPUDE   TAL. WALWA, DIST. SANGLI.</v>
      </c>
      <c r="B42" s="876"/>
      <c r="C42" s="876"/>
      <c r="D42" s="876"/>
      <c r="E42" s="876"/>
      <c r="F42" s="876"/>
      <c r="G42" s="876"/>
      <c r="H42" s="876"/>
      <c r="I42" s="876"/>
      <c r="J42" s="876"/>
      <c r="K42" s="876"/>
      <c r="L42" s="876"/>
      <c r="M42" s="876"/>
      <c r="N42" s="876"/>
    </row>
    <row r="43" spans="1:15" ht="15" customHeight="1">
      <c r="B43" s="591"/>
      <c r="C43" s="592"/>
      <c r="D43" s="592"/>
      <c r="E43" s="592"/>
      <c r="F43" s="592"/>
      <c r="G43" s="592"/>
      <c r="H43" s="592"/>
      <c r="I43" s="592"/>
      <c r="J43" s="592"/>
      <c r="K43" s="592"/>
      <c r="L43" s="592"/>
      <c r="M43" s="592"/>
      <c r="N43" s="593"/>
    </row>
    <row r="44" spans="1:15">
      <c r="B44" s="903" t="s">
        <v>380</v>
      </c>
      <c r="C44" s="903"/>
      <c r="D44" s="903"/>
      <c r="E44" s="903"/>
      <c r="F44" s="903"/>
      <c r="G44" s="903"/>
      <c r="H44" s="903"/>
      <c r="I44" s="903"/>
      <c r="J44" s="903"/>
      <c r="K44" s="903"/>
      <c r="L44" s="903"/>
      <c r="M44" s="903"/>
      <c r="N44" s="903"/>
    </row>
    <row r="45" spans="1:15" ht="13.5" thickBot="1">
      <c r="B45" s="626"/>
      <c r="C45" s="627"/>
      <c r="D45" s="627"/>
      <c r="E45" s="627"/>
      <c r="F45" s="627"/>
      <c r="G45" s="627"/>
      <c r="H45" s="627"/>
      <c r="I45" s="627"/>
      <c r="J45" s="627"/>
      <c r="K45" s="627"/>
      <c r="L45" s="627"/>
      <c r="M45" s="627"/>
      <c r="N45" s="627"/>
    </row>
    <row r="46" spans="1:15" s="633" customFormat="1" ht="111" customHeight="1" thickBot="1">
      <c r="A46" s="628" t="s">
        <v>381</v>
      </c>
      <c r="B46" s="628" t="s">
        <v>382</v>
      </c>
      <c r="C46" s="629" t="s">
        <v>383</v>
      </c>
      <c r="D46" s="889" t="s">
        <v>384</v>
      </c>
      <c r="E46" s="890"/>
      <c r="F46" s="630" t="s">
        <v>385</v>
      </c>
      <c r="G46" s="631"/>
      <c r="H46" s="632"/>
      <c r="I46" s="907" t="s">
        <v>400</v>
      </c>
      <c r="J46" s="908"/>
      <c r="K46" s="908"/>
      <c r="L46" s="908"/>
      <c r="M46" s="908"/>
      <c r="N46" s="909"/>
    </row>
    <row r="47" spans="1:15" s="640" customFormat="1" ht="14.25" customHeight="1" thickBot="1">
      <c r="A47" s="634">
        <v>1</v>
      </c>
      <c r="B47" s="635">
        <v>2</v>
      </c>
      <c r="C47" s="636">
        <v>3</v>
      </c>
      <c r="D47" s="637">
        <v>4</v>
      </c>
      <c r="E47" s="638"/>
      <c r="F47" s="639">
        <v>5</v>
      </c>
      <c r="G47" s="639"/>
      <c r="H47" s="638"/>
      <c r="I47" s="910"/>
      <c r="J47" s="911"/>
      <c r="K47" s="911"/>
      <c r="L47" s="911"/>
      <c r="M47" s="911"/>
      <c r="N47" s="912"/>
    </row>
    <row r="48" spans="1:15" ht="18" customHeight="1">
      <c r="A48" s="641"/>
      <c r="B48" s="642"/>
      <c r="C48" s="643"/>
      <c r="D48" s="896">
        <v>2.83</v>
      </c>
      <c r="E48" s="897"/>
      <c r="F48" s="644"/>
      <c r="G48" s="900">
        <v>400</v>
      </c>
      <c r="H48" s="901"/>
      <c r="I48" s="913"/>
      <c r="J48" s="914"/>
      <c r="K48" s="914"/>
      <c r="L48" s="914"/>
      <c r="M48" s="914"/>
      <c r="N48" s="915"/>
    </row>
    <row r="49" spans="1:15">
      <c r="A49" s="645">
        <v>1</v>
      </c>
      <c r="B49" s="646" t="s">
        <v>100</v>
      </c>
      <c r="C49" s="647">
        <f>G32</f>
        <v>34.81</v>
      </c>
      <c r="D49" s="898">
        <f>C49/D48</f>
        <v>12.30035335689046</v>
      </c>
      <c r="E49" s="899"/>
      <c r="F49" s="648"/>
      <c r="G49" s="898">
        <f>G48*D49</f>
        <v>4920.1413427561838</v>
      </c>
      <c r="H49" s="899"/>
      <c r="I49" s="916"/>
      <c r="J49" s="917"/>
      <c r="K49" s="917"/>
      <c r="L49" s="917"/>
      <c r="M49" s="917"/>
      <c r="N49" s="918"/>
    </row>
    <row r="50" spans="1:15" ht="7.5" customHeight="1">
      <c r="A50" s="645"/>
      <c r="B50" s="649"/>
      <c r="C50" s="650"/>
      <c r="D50" s="898"/>
      <c r="E50" s="899"/>
      <c r="F50" s="648"/>
      <c r="G50" s="898"/>
      <c r="H50" s="899"/>
      <c r="I50" s="916"/>
      <c r="J50" s="917"/>
      <c r="K50" s="917"/>
      <c r="L50" s="917"/>
      <c r="M50" s="917"/>
      <c r="N50" s="918"/>
    </row>
    <row r="51" spans="1:15">
      <c r="A51" s="645">
        <v>2</v>
      </c>
      <c r="B51" s="646" t="s">
        <v>386</v>
      </c>
      <c r="C51" s="650">
        <v>0</v>
      </c>
      <c r="D51" s="898">
        <f>C51/D48</f>
        <v>0</v>
      </c>
      <c r="E51" s="899"/>
      <c r="F51" s="648"/>
      <c r="G51" s="898">
        <f>G50*D51</f>
        <v>0</v>
      </c>
      <c r="H51" s="899"/>
      <c r="I51" s="916"/>
      <c r="J51" s="917"/>
      <c r="K51" s="917"/>
      <c r="L51" s="917"/>
      <c r="M51" s="917"/>
      <c r="N51" s="918"/>
      <c r="O51" s="651"/>
    </row>
    <row r="52" spans="1:15" ht="7.5" customHeight="1">
      <c r="A52" s="645"/>
      <c r="B52" s="649"/>
      <c r="C52" s="650"/>
      <c r="D52" s="898"/>
      <c r="E52" s="899"/>
      <c r="F52" s="648"/>
      <c r="G52" s="898"/>
      <c r="H52" s="899"/>
      <c r="I52" s="919"/>
      <c r="J52" s="920"/>
      <c r="K52" s="920"/>
      <c r="L52" s="920"/>
      <c r="M52" s="920"/>
      <c r="N52" s="921"/>
      <c r="O52" s="651"/>
    </row>
    <row r="53" spans="1:15" ht="23.25" customHeight="1">
      <c r="A53" s="652">
        <v>3</v>
      </c>
      <c r="B53" s="646" t="s">
        <v>379</v>
      </c>
      <c r="C53" s="650">
        <f>K32</f>
        <v>57.49</v>
      </c>
      <c r="D53" s="898">
        <f>C53/D48</f>
        <v>20.314487632508833</v>
      </c>
      <c r="E53" s="899"/>
      <c r="F53" s="653"/>
      <c r="G53" s="898">
        <f>D53*G48</f>
        <v>8125.7950530035332</v>
      </c>
      <c r="H53" s="899"/>
      <c r="I53" s="916"/>
      <c r="J53" s="917"/>
      <c r="K53" s="917"/>
      <c r="L53" s="917"/>
      <c r="M53" s="917"/>
      <c r="N53" s="918"/>
    </row>
    <row r="54" spans="1:15" ht="12" customHeight="1">
      <c r="A54" s="652"/>
      <c r="B54" s="649"/>
      <c r="C54" s="650"/>
      <c r="D54" s="898"/>
      <c r="E54" s="899"/>
      <c r="F54" s="653"/>
      <c r="G54" s="898"/>
      <c r="H54" s="899"/>
      <c r="I54" s="916"/>
      <c r="J54" s="917"/>
      <c r="K54" s="917"/>
      <c r="L54" s="917"/>
      <c r="M54" s="917"/>
      <c r="N54" s="918"/>
    </row>
    <row r="55" spans="1:15" ht="17.25" customHeight="1">
      <c r="A55" s="652">
        <v>4</v>
      </c>
      <c r="B55" s="646" t="s">
        <v>137</v>
      </c>
      <c r="C55" s="650">
        <f>M32</f>
        <v>20.399999999999999</v>
      </c>
      <c r="D55" s="898">
        <f>C55/D48</f>
        <v>7.2084805653710244</v>
      </c>
      <c r="E55" s="899"/>
      <c r="F55" s="653"/>
      <c r="G55" s="898">
        <f>D55*G48</f>
        <v>2883.3922261484099</v>
      </c>
      <c r="H55" s="899"/>
      <c r="I55" s="922"/>
      <c r="J55" s="923"/>
      <c r="K55" s="923"/>
      <c r="L55" s="923"/>
      <c r="M55" s="923"/>
      <c r="N55" s="924"/>
    </row>
    <row r="56" spans="1:15" ht="17.25" customHeight="1" thickBot="1">
      <c r="A56" s="654"/>
      <c r="B56" s="655"/>
      <c r="C56" s="656"/>
      <c r="D56" s="657"/>
      <c r="E56" s="658"/>
      <c r="F56" s="658"/>
      <c r="G56" s="904"/>
      <c r="H56" s="905"/>
      <c r="K56" s="659"/>
    </row>
    <row r="57" spans="1:15" ht="16.5" customHeight="1" thickTop="1">
      <c r="A57" s="641"/>
      <c r="B57" s="660"/>
      <c r="C57" s="661" t="s">
        <v>387</v>
      </c>
      <c r="D57" s="662"/>
      <c r="E57" s="644"/>
      <c r="F57" s="644"/>
      <c r="G57" s="925">
        <f>SUM(G49:H55)</f>
        <v>15929.328621908126</v>
      </c>
      <c r="H57" s="925"/>
    </row>
    <row r="58" spans="1:15" ht="10.5" customHeight="1">
      <c r="C58" s="596"/>
      <c r="D58" s="596"/>
      <c r="E58" s="596"/>
      <c r="F58" s="596"/>
      <c r="G58" s="596"/>
      <c r="H58" s="596"/>
      <c r="I58" s="902"/>
      <c r="J58" s="902"/>
      <c r="K58" s="664"/>
      <c r="L58" s="664"/>
      <c r="M58" s="665"/>
    </row>
    <row r="59" spans="1:15" ht="12.75" customHeight="1">
      <c r="C59" s="596"/>
      <c r="D59" s="596"/>
      <c r="E59" s="596"/>
      <c r="F59" s="596"/>
      <c r="G59" s="596"/>
      <c r="H59" s="596"/>
      <c r="I59" s="596"/>
      <c r="J59" s="664"/>
      <c r="K59" s="664"/>
      <c r="L59" s="664"/>
      <c r="M59" s="664"/>
    </row>
    <row r="60" spans="1:15" ht="18" customHeight="1" thickBot="1">
      <c r="D60" s="666" t="s">
        <v>16</v>
      </c>
      <c r="E60" s="666" t="s">
        <v>14</v>
      </c>
      <c r="F60" s="906">
        <f>ROUNDUP(G57,0)</f>
        <v>15930</v>
      </c>
      <c r="G60" s="906"/>
      <c r="H60" s="906"/>
      <c r="K60" s="664"/>
      <c r="L60" s="664"/>
      <c r="M60" s="665"/>
    </row>
    <row r="61" spans="1:15" ht="18" customHeight="1">
      <c r="A61" s="594"/>
      <c r="B61" s="595"/>
      <c r="C61" s="596"/>
      <c r="D61" s="596"/>
      <c r="E61" s="596"/>
      <c r="F61" s="596"/>
      <c r="G61" s="596"/>
      <c r="H61" s="664"/>
      <c r="I61" s="664"/>
      <c r="J61" s="664"/>
      <c r="K61" s="664"/>
      <c r="L61" s="664"/>
      <c r="M61" s="665"/>
    </row>
    <row r="62" spans="1:15" ht="18" customHeight="1">
      <c r="A62" s="594"/>
      <c r="B62" s="595"/>
      <c r="C62" s="596"/>
      <c r="D62" s="596"/>
      <c r="E62" s="596"/>
      <c r="F62" s="596"/>
      <c r="G62" s="596"/>
      <c r="H62" s="664"/>
      <c r="I62" s="664"/>
      <c r="J62" s="664"/>
      <c r="K62" s="664"/>
      <c r="L62" s="664"/>
      <c r="M62" s="665"/>
    </row>
    <row r="63" spans="1:15" ht="18" customHeight="1">
      <c r="A63" s="594"/>
      <c r="B63" s="595"/>
      <c r="C63" s="596"/>
      <c r="D63" s="596"/>
      <c r="E63" s="596"/>
      <c r="F63" s="596"/>
      <c r="G63" s="596"/>
      <c r="H63" s="664"/>
      <c r="I63" s="664"/>
      <c r="J63" s="664"/>
      <c r="K63" s="664"/>
      <c r="L63" s="664"/>
      <c r="M63" s="665"/>
    </row>
    <row r="64" spans="1:15" s="346" customFormat="1">
      <c r="A64" s="864" t="s">
        <v>388</v>
      </c>
      <c r="B64" s="864"/>
      <c r="D64" s="864" t="s">
        <v>389</v>
      </c>
      <c r="E64" s="864"/>
      <c r="F64" s="864"/>
      <c r="G64" s="474"/>
      <c r="K64" s="865"/>
      <c r="L64" s="865"/>
      <c r="M64" s="865"/>
    </row>
    <row r="65" spans="1:13" s="346" customFormat="1">
      <c r="A65" s="533"/>
      <c r="B65" s="667"/>
      <c r="D65" s="864"/>
      <c r="E65" s="864"/>
      <c r="F65" s="864"/>
      <c r="K65" s="865"/>
      <c r="L65" s="865"/>
      <c r="M65" s="865"/>
    </row>
  </sheetData>
  <mergeCells count="53">
    <mergeCell ref="A64:B64"/>
    <mergeCell ref="A42:N42"/>
    <mergeCell ref="B44:N44"/>
    <mergeCell ref="G56:H56"/>
    <mergeCell ref="F60:H60"/>
    <mergeCell ref="I46:N46"/>
    <mergeCell ref="I47:N47"/>
    <mergeCell ref="I48:N51"/>
    <mergeCell ref="I52:N55"/>
    <mergeCell ref="D55:E55"/>
    <mergeCell ref="G53:H53"/>
    <mergeCell ref="G54:H54"/>
    <mergeCell ref="G50:H50"/>
    <mergeCell ref="G51:H51"/>
    <mergeCell ref="G52:H52"/>
    <mergeCell ref="G57:H57"/>
    <mergeCell ref="D65:F65"/>
    <mergeCell ref="K65:M65"/>
    <mergeCell ref="D46:E46"/>
    <mergeCell ref="D48:E48"/>
    <mergeCell ref="D49:E49"/>
    <mergeCell ref="D50:E50"/>
    <mergeCell ref="D51:E51"/>
    <mergeCell ref="D64:F64"/>
    <mergeCell ref="K64:M64"/>
    <mergeCell ref="D52:E52"/>
    <mergeCell ref="D54:E54"/>
    <mergeCell ref="G48:H48"/>
    <mergeCell ref="I58:J58"/>
    <mergeCell ref="G49:H49"/>
    <mergeCell ref="G55:H55"/>
    <mergeCell ref="D53:E53"/>
    <mergeCell ref="L10:M10"/>
    <mergeCell ref="D10:E10"/>
    <mergeCell ref="F10:G10"/>
    <mergeCell ref="H10:I10"/>
    <mergeCell ref="J10:K10"/>
    <mergeCell ref="A40:N40"/>
    <mergeCell ref="A1:N1"/>
    <mergeCell ref="A2:N2"/>
    <mergeCell ref="A4:N4"/>
    <mergeCell ref="B6:N6"/>
    <mergeCell ref="A8:A9"/>
    <mergeCell ref="B8:B9"/>
    <mergeCell ref="C8:C9"/>
    <mergeCell ref="D8:M8"/>
    <mergeCell ref="N8:N9"/>
    <mergeCell ref="D9:E9"/>
    <mergeCell ref="F9:G9"/>
    <mergeCell ref="H9:I9"/>
    <mergeCell ref="J9:K9"/>
    <mergeCell ref="L9:M9"/>
    <mergeCell ref="A39:N39"/>
  </mergeCells>
  <pageMargins left="0.48" right="0.16" top="0.25" bottom="0.28000000000000003" header="0.16" footer="0.16"/>
  <pageSetup paperSize="9" orientation="landscape" r:id="rId1"/>
  <rowBreaks count="1" manualBreakCount="1">
    <brk id="3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87"/>
  <sheetViews>
    <sheetView view="pageBreakPreview" topLeftCell="A3" zoomScale="130" zoomScaleNormal="130" zoomScaleSheetLayoutView="130" workbookViewId="0">
      <selection activeCell="B4" sqref="B4:N4"/>
    </sheetView>
  </sheetViews>
  <sheetFormatPr defaultRowHeight="11.25"/>
  <cols>
    <col min="1" max="1" width="3.7109375" style="485" customWidth="1"/>
    <col min="2" max="2" width="31.85546875" style="536" customWidth="1"/>
    <col min="3" max="3" width="3.85546875" style="534" customWidth="1"/>
    <col min="4" max="4" width="1.85546875" style="534" customWidth="1"/>
    <col min="5" max="5" width="3.7109375" style="534" customWidth="1"/>
    <col min="6" max="6" width="2" style="534" customWidth="1"/>
    <col min="7" max="7" width="6.140625" style="534" customWidth="1"/>
    <col min="8" max="8" width="1.5703125" style="534" customWidth="1"/>
    <col min="9" max="9" width="5.85546875" style="494" customWidth="1"/>
    <col min="10" max="10" width="1.7109375" style="534" customWidth="1"/>
    <col min="11" max="11" width="7.5703125" style="534" customWidth="1"/>
    <col min="12" max="12" width="2.5703125" style="534" customWidth="1"/>
    <col min="13" max="13" width="7.5703125" style="40" customWidth="1"/>
    <col min="14" max="14" width="5" style="536" customWidth="1"/>
    <col min="15" max="15" width="8" style="42" customWidth="1"/>
    <col min="16" max="19" width="9.140625" style="42"/>
    <col min="20" max="20" width="12.5703125" style="42" customWidth="1"/>
    <col min="21" max="16384" width="9.140625" style="42"/>
  </cols>
  <sheetData>
    <row r="1" spans="1:19" ht="12.75">
      <c r="B1" s="926" t="s">
        <v>667</v>
      </c>
      <c r="C1" s="926"/>
      <c r="D1" s="926"/>
      <c r="E1" s="926"/>
      <c r="F1" s="926"/>
      <c r="G1" s="926"/>
      <c r="H1" s="926"/>
      <c r="I1" s="926"/>
      <c r="J1" s="926"/>
      <c r="K1" s="926"/>
      <c r="L1" s="926"/>
      <c r="M1" s="926"/>
      <c r="N1" s="926"/>
    </row>
    <row r="2" spans="1:19" ht="12.75">
      <c r="B2" s="926" t="s">
        <v>668</v>
      </c>
      <c r="C2" s="926"/>
      <c r="D2" s="926"/>
      <c r="E2" s="926"/>
      <c r="F2" s="926"/>
      <c r="G2" s="926"/>
      <c r="H2" s="926"/>
      <c r="I2" s="926"/>
      <c r="J2" s="926"/>
      <c r="K2" s="926"/>
      <c r="L2" s="926"/>
      <c r="M2" s="926"/>
      <c r="N2" s="926"/>
    </row>
    <row r="3" spans="1:19">
      <c r="B3" s="42"/>
      <c r="C3" s="108"/>
      <c r="D3" s="108"/>
      <c r="G3" s="108"/>
    </row>
    <row r="4" spans="1:19" ht="42" customHeight="1">
      <c r="B4" s="975" t="s">
        <v>691</v>
      </c>
      <c r="C4" s="975"/>
      <c r="D4" s="975"/>
      <c r="E4" s="975"/>
      <c r="F4" s="975"/>
      <c r="G4" s="975"/>
      <c r="H4" s="975"/>
      <c r="I4" s="975"/>
      <c r="J4" s="975"/>
      <c r="K4" s="975"/>
      <c r="L4" s="975"/>
      <c r="M4" s="975"/>
      <c r="N4" s="975"/>
      <c r="O4" s="542"/>
      <c r="P4" s="542"/>
      <c r="Q4" s="542"/>
    </row>
    <row r="5" spans="1:19">
      <c r="B5" s="8"/>
      <c r="N5" s="42"/>
    </row>
    <row r="6" spans="1:19" ht="12">
      <c r="B6" s="927" t="s">
        <v>112</v>
      </c>
      <c r="C6" s="927"/>
      <c r="D6" s="927"/>
      <c r="E6" s="927"/>
      <c r="F6" s="927"/>
      <c r="G6" s="927"/>
      <c r="H6" s="927"/>
      <c r="I6" s="927"/>
      <c r="J6" s="927"/>
      <c r="K6" s="927"/>
      <c r="L6" s="927"/>
      <c r="M6" s="927"/>
      <c r="N6" s="927"/>
    </row>
    <row r="7" spans="1:19" ht="12">
      <c r="B7" s="543"/>
      <c r="C7" s="543"/>
      <c r="D7" s="543"/>
      <c r="E7" s="543"/>
      <c r="F7" s="543"/>
      <c r="G7" s="543"/>
      <c r="H7" s="543"/>
      <c r="I7" s="544"/>
      <c r="J7" s="543"/>
      <c r="K7" s="927"/>
      <c r="L7" s="927"/>
      <c r="M7" s="927"/>
      <c r="N7" s="543"/>
    </row>
    <row r="8" spans="1:19">
      <c r="B8" s="945" t="s">
        <v>669</v>
      </c>
      <c r="C8" s="945"/>
      <c r="D8" s="945"/>
      <c r="E8" s="945"/>
      <c r="F8" s="945"/>
      <c r="G8" s="945"/>
      <c r="H8" s="945"/>
      <c r="I8" s="945"/>
      <c r="J8" s="945"/>
      <c r="K8" s="945"/>
      <c r="L8" s="7"/>
      <c r="M8" s="492"/>
      <c r="N8" s="7"/>
    </row>
    <row r="9" spans="1:19">
      <c r="B9" s="7"/>
      <c r="C9" s="109"/>
      <c r="D9" s="109"/>
      <c r="E9" s="7"/>
      <c r="F9" s="7"/>
      <c r="G9" s="109"/>
      <c r="H9" s="7"/>
      <c r="N9" s="110"/>
    </row>
    <row r="10" spans="1:19" s="486" customFormat="1" ht="22.5">
      <c r="A10" s="545" t="s">
        <v>608</v>
      </c>
      <c r="B10" s="546" t="s">
        <v>607</v>
      </c>
      <c r="C10" s="928" t="s">
        <v>113</v>
      </c>
      <c r="D10" s="928"/>
      <c r="E10" s="928"/>
      <c r="F10" s="928"/>
      <c r="G10" s="545" t="s">
        <v>114</v>
      </c>
      <c r="H10" s="545"/>
      <c r="I10" s="547" t="s">
        <v>115</v>
      </c>
      <c r="J10" s="545"/>
      <c r="K10" s="545" t="s">
        <v>116</v>
      </c>
      <c r="L10" s="545"/>
      <c r="M10" s="548" t="s">
        <v>94</v>
      </c>
      <c r="N10" s="546" t="s">
        <v>117</v>
      </c>
    </row>
    <row r="11" spans="1:19" ht="12">
      <c r="A11" s="489"/>
      <c r="B11" s="549"/>
      <c r="C11" s="550"/>
      <c r="D11" s="550"/>
      <c r="E11" s="550"/>
      <c r="F11" s="550"/>
      <c r="G11" s="550"/>
      <c r="H11" s="550"/>
      <c r="I11" s="551"/>
      <c r="J11" s="550"/>
      <c r="K11" s="552" t="s">
        <v>118</v>
      </c>
      <c r="L11" s="552"/>
      <c r="M11" s="553" t="s">
        <v>119</v>
      </c>
      <c r="N11" s="549" t="s">
        <v>53</v>
      </c>
    </row>
    <row r="12" spans="1:19" ht="58.5" customHeight="1">
      <c r="A12" s="485">
        <v>1</v>
      </c>
      <c r="B12" s="929" t="s">
        <v>609</v>
      </c>
      <c r="C12" s="930"/>
      <c r="D12" s="930"/>
      <c r="E12" s="930"/>
      <c r="F12" s="930"/>
      <c r="G12" s="930"/>
      <c r="H12" s="930"/>
      <c r="I12" s="930"/>
      <c r="J12" s="930"/>
      <c r="K12" s="930"/>
      <c r="L12" s="930"/>
      <c r="M12" s="930"/>
      <c r="N12" s="108" t="s">
        <v>606</v>
      </c>
    </row>
    <row r="13" spans="1:19">
      <c r="B13" s="566" t="s">
        <v>670</v>
      </c>
      <c r="C13" s="568">
        <v>1</v>
      </c>
      <c r="D13" s="14" t="s">
        <v>45</v>
      </c>
      <c r="E13" s="569">
        <v>14</v>
      </c>
      <c r="F13" s="14" t="s">
        <v>45</v>
      </c>
      <c r="G13" s="569">
        <v>1.5</v>
      </c>
      <c r="H13" s="14" t="s">
        <v>45</v>
      </c>
      <c r="I13" s="570">
        <v>1.6</v>
      </c>
      <c r="J13" s="14" t="s">
        <v>45</v>
      </c>
      <c r="K13" s="571">
        <v>0.4</v>
      </c>
      <c r="L13" s="534" t="s">
        <v>46</v>
      </c>
      <c r="M13" s="40">
        <f>C13*E13*K13*G13*I13</f>
        <v>13.440000000000001</v>
      </c>
    </row>
    <row r="14" spans="1:19">
      <c r="B14" s="566" t="s">
        <v>671</v>
      </c>
      <c r="C14" s="568">
        <v>1</v>
      </c>
      <c r="D14" s="14" t="s">
        <v>45</v>
      </c>
      <c r="E14" s="569">
        <v>4</v>
      </c>
      <c r="F14" s="14" t="s">
        <v>45</v>
      </c>
      <c r="G14" s="569">
        <v>2.6</v>
      </c>
      <c r="H14" s="14" t="s">
        <v>45</v>
      </c>
      <c r="I14" s="570">
        <v>1</v>
      </c>
      <c r="J14" s="14" t="s">
        <v>45</v>
      </c>
      <c r="K14" s="571">
        <v>0.4</v>
      </c>
      <c r="L14" s="534" t="s">
        <v>46</v>
      </c>
      <c r="M14" s="40">
        <f t="shared" ref="M14:M15" si="0">C14*E14*K14*G14*I14</f>
        <v>4.16</v>
      </c>
    </row>
    <row r="15" spans="1:19">
      <c r="B15" s="572"/>
      <c r="C15" s="568">
        <v>1</v>
      </c>
      <c r="D15" s="14" t="s">
        <v>45</v>
      </c>
      <c r="E15" s="569">
        <v>8</v>
      </c>
      <c r="F15" s="14" t="s">
        <v>45</v>
      </c>
      <c r="G15" s="569">
        <v>3.5</v>
      </c>
      <c r="H15" s="14" t="s">
        <v>45</v>
      </c>
      <c r="I15" s="570">
        <v>1</v>
      </c>
      <c r="J15" s="14" t="s">
        <v>45</v>
      </c>
      <c r="K15" s="571">
        <v>0.4</v>
      </c>
      <c r="L15" s="534" t="s">
        <v>46</v>
      </c>
      <c r="M15" s="40">
        <f t="shared" si="0"/>
        <v>11.200000000000001</v>
      </c>
    </row>
    <row r="16" spans="1:19" ht="14.25">
      <c r="B16" s="556"/>
      <c r="C16" s="502"/>
      <c r="E16" s="505"/>
      <c r="G16" s="505"/>
      <c r="I16" s="557"/>
      <c r="K16" s="506"/>
      <c r="S16" s="40"/>
    </row>
    <row r="17" spans="1:19" ht="14.25">
      <c r="B17" s="556"/>
      <c r="C17" s="502"/>
      <c r="E17" s="505"/>
      <c r="G17" s="505"/>
      <c r="I17" s="557"/>
      <c r="K17" s="506" t="s">
        <v>9</v>
      </c>
      <c r="L17" s="534" t="s">
        <v>46</v>
      </c>
      <c r="M17" s="40">
        <f>SUM(M13:M16)</f>
        <v>28.800000000000004</v>
      </c>
      <c r="S17" s="40"/>
    </row>
    <row r="18" spans="1:19">
      <c r="B18" s="535"/>
      <c r="G18" s="112"/>
      <c r="K18" s="534" t="s">
        <v>120</v>
      </c>
      <c r="L18" s="111" t="s">
        <v>46</v>
      </c>
      <c r="M18" s="40">
        <f>ROUNDUP(M17,0)</f>
        <v>29</v>
      </c>
      <c r="N18" s="536" t="str">
        <f>N12</f>
        <v>C.um</v>
      </c>
    </row>
    <row r="19" spans="1:19" s="113" customFormat="1">
      <c r="A19" s="490"/>
      <c r="B19" s="535"/>
      <c r="C19" s="14"/>
      <c r="D19" s="14"/>
      <c r="E19" s="14"/>
      <c r="F19" s="14"/>
      <c r="G19" s="14"/>
      <c r="H19" s="14"/>
      <c r="I19" s="495"/>
      <c r="J19" s="14"/>
      <c r="K19" s="14"/>
      <c r="L19" s="14"/>
      <c r="M19" s="488"/>
      <c r="N19" s="535"/>
    </row>
    <row r="20" spans="1:19" ht="48" customHeight="1">
      <c r="A20" s="485">
        <v>2</v>
      </c>
      <c r="B20" s="929" t="s">
        <v>610</v>
      </c>
      <c r="C20" s="930"/>
      <c r="D20" s="930"/>
      <c r="E20" s="930"/>
      <c r="F20" s="930"/>
      <c r="G20" s="930"/>
      <c r="H20" s="930"/>
      <c r="I20" s="930"/>
      <c r="J20" s="930"/>
      <c r="K20" s="930"/>
      <c r="L20" s="930"/>
      <c r="M20" s="930"/>
      <c r="N20" s="108" t="s">
        <v>606</v>
      </c>
    </row>
    <row r="21" spans="1:19" s="113" customFormat="1">
      <c r="A21" s="490"/>
      <c r="B21" s="566" t="s">
        <v>670</v>
      </c>
      <c r="C21" s="568">
        <v>1</v>
      </c>
      <c r="D21" s="14" t="s">
        <v>45</v>
      </c>
      <c r="E21" s="569">
        <v>14</v>
      </c>
      <c r="F21" s="14" t="s">
        <v>45</v>
      </c>
      <c r="G21" s="569">
        <v>1.5</v>
      </c>
      <c r="H21" s="14" t="s">
        <v>45</v>
      </c>
      <c r="I21" s="570">
        <v>1.6</v>
      </c>
      <c r="J21" s="14" t="s">
        <v>45</v>
      </c>
      <c r="K21" s="571">
        <v>0.8</v>
      </c>
      <c r="L21" s="534" t="s">
        <v>46</v>
      </c>
      <c r="M21" s="40">
        <f>C21*E21*K21*G21*I21</f>
        <v>26.880000000000003</v>
      </c>
      <c r="N21" s="535"/>
    </row>
    <row r="22" spans="1:19" s="113" customFormat="1">
      <c r="A22" s="490"/>
      <c r="B22" s="566" t="s">
        <v>671</v>
      </c>
      <c r="C22" s="568">
        <v>1</v>
      </c>
      <c r="D22" s="14" t="s">
        <v>45</v>
      </c>
      <c r="E22" s="569">
        <v>4</v>
      </c>
      <c r="F22" s="14" t="s">
        <v>45</v>
      </c>
      <c r="G22" s="569">
        <v>2.6</v>
      </c>
      <c r="H22" s="14" t="s">
        <v>45</v>
      </c>
      <c r="I22" s="570">
        <v>1</v>
      </c>
      <c r="J22" s="14" t="s">
        <v>45</v>
      </c>
      <c r="K22" s="571">
        <v>0.8</v>
      </c>
      <c r="L22" s="534" t="s">
        <v>46</v>
      </c>
      <c r="M22" s="40">
        <f t="shared" ref="M22:M23" si="1">C22*E22*K22*G22*I22</f>
        <v>8.32</v>
      </c>
      <c r="N22" s="535"/>
    </row>
    <row r="23" spans="1:19" s="113" customFormat="1">
      <c r="A23" s="490"/>
      <c r="B23" s="572"/>
      <c r="C23" s="568">
        <v>1</v>
      </c>
      <c r="D23" s="14" t="s">
        <v>45</v>
      </c>
      <c r="E23" s="569">
        <v>8</v>
      </c>
      <c r="F23" s="14" t="s">
        <v>45</v>
      </c>
      <c r="G23" s="569">
        <v>3.5</v>
      </c>
      <c r="H23" s="14" t="s">
        <v>45</v>
      </c>
      <c r="I23" s="570">
        <v>1</v>
      </c>
      <c r="J23" s="14" t="s">
        <v>45</v>
      </c>
      <c r="K23" s="571">
        <v>0.8</v>
      </c>
      <c r="L23" s="534" t="s">
        <v>46</v>
      </c>
      <c r="M23" s="40">
        <f t="shared" si="1"/>
        <v>22.400000000000002</v>
      </c>
      <c r="N23" s="535"/>
    </row>
    <row r="25" spans="1:19" ht="14.25">
      <c r="G25" s="40"/>
      <c r="K25" s="506" t="s">
        <v>9</v>
      </c>
      <c r="L25" s="534" t="s">
        <v>46</v>
      </c>
      <c r="M25" s="40">
        <f>SUM(M21:M24)</f>
        <v>57.600000000000009</v>
      </c>
      <c r="S25" s="40"/>
    </row>
    <row r="26" spans="1:19">
      <c r="G26" s="112"/>
      <c r="K26" s="534" t="s">
        <v>120</v>
      </c>
      <c r="L26" s="111" t="s">
        <v>46</v>
      </c>
      <c r="M26" s="40">
        <f>ROUNDUP(M25,0)</f>
        <v>58</v>
      </c>
      <c r="N26" s="536" t="str">
        <f>N20</f>
        <v>C.um</v>
      </c>
    </row>
    <row r="27" spans="1:19" s="113" customFormat="1">
      <c r="A27" s="490"/>
      <c r="B27" s="535"/>
      <c r="C27" s="14"/>
      <c r="D27" s="14"/>
      <c r="E27" s="14"/>
      <c r="F27" s="14"/>
      <c r="G27" s="14"/>
      <c r="H27" s="14"/>
      <c r="I27" s="495"/>
      <c r="J27" s="14"/>
      <c r="K27" s="14"/>
      <c r="L27" s="14"/>
      <c r="M27" s="488"/>
      <c r="N27" s="535"/>
    </row>
    <row r="28" spans="1:19" ht="68.25" customHeight="1">
      <c r="A28" s="485">
        <v>3</v>
      </c>
      <c r="B28" s="946" t="s">
        <v>612</v>
      </c>
      <c r="C28" s="946"/>
      <c r="D28" s="946"/>
      <c r="E28" s="946"/>
      <c r="F28" s="946"/>
      <c r="G28" s="946"/>
      <c r="H28" s="946"/>
      <c r="I28" s="946"/>
      <c r="J28" s="946"/>
      <c r="K28" s="946"/>
      <c r="L28" s="946"/>
      <c r="M28" s="946"/>
      <c r="N28" s="108" t="s">
        <v>606</v>
      </c>
    </row>
    <row r="29" spans="1:19" s="113" customFormat="1">
      <c r="A29" s="490"/>
      <c r="B29" s="566" t="s">
        <v>670</v>
      </c>
      <c r="C29" s="568">
        <v>1</v>
      </c>
      <c r="D29" s="14" t="s">
        <v>45</v>
      </c>
      <c r="E29" s="569">
        <v>14</v>
      </c>
      <c r="F29" s="14" t="s">
        <v>45</v>
      </c>
      <c r="G29" s="569">
        <v>1.4</v>
      </c>
      <c r="H29" s="14" t="s">
        <v>45</v>
      </c>
      <c r="I29" s="570">
        <v>1.5</v>
      </c>
      <c r="J29" s="14" t="s">
        <v>45</v>
      </c>
      <c r="K29" s="571">
        <v>0.1</v>
      </c>
      <c r="L29" s="534" t="s">
        <v>46</v>
      </c>
      <c r="M29" s="40">
        <f>C29*E29*K29*G29*I29</f>
        <v>2.94</v>
      </c>
      <c r="N29" s="535"/>
    </row>
    <row r="30" spans="1:19" s="113" customFormat="1">
      <c r="A30" s="490"/>
      <c r="B30" s="566" t="s">
        <v>671</v>
      </c>
      <c r="C30" s="568">
        <v>1</v>
      </c>
      <c r="D30" s="14" t="s">
        <v>45</v>
      </c>
      <c r="E30" s="569">
        <v>4</v>
      </c>
      <c r="F30" s="14" t="s">
        <v>45</v>
      </c>
      <c r="G30" s="569">
        <v>2.6</v>
      </c>
      <c r="H30" s="14" t="s">
        <v>45</v>
      </c>
      <c r="I30" s="570">
        <v>0.6</v>
      </c>
      <c r="J30" s="14" t="s">
        <v>45</v>
      </c>
      <c r="K30" s="571">
        <v>0.1</v>
      </c>
      <c r="L30" s="534" t="s">
        <v>46</v>
      </c>
      <c r="M30" s="40">
        <f t="shared" ref="M30:M31" si="2">C30*E30*K30*G30*I30</f>
        <v>0.624</v>
      </c>
      <c r="N30" s="535"/>
    </row>
    <row r="31" spans="1:19" s="113" customFormat="1">
      <c r="A31" s="490"/>
      <c r="B31" s="572"/>
      <c r="C31" s="568">
        <v>1</v>
      </c>
      <c r="D31" s="14" t="s">
        <v>45</v>
      </c>
      <c r="E31" s="569">
        <v>8</v>
      </c>
      <c r="F31" s="14" t="s">
        <v>45</v>
      </c>
      <c r="G31" s="569">
        <v>3.5</v>
      </c>
      <c r="H31" s="14" t="s">
        <v>45</v>
      </c>
      <c r="I31" s="570">
        <v>0.6</v>
      </c>
      <c r="J31" s="14" t="s">
        <v>45</v>
      </c>
      <c r="K31" s="571">
        <v>0.1</v>
      </c>
      <c r="L31" s="534" t="s">
        <v>46</v>
      </c>
      <c r="M31" s="40">
        <f t="shared" si="2"/>
        <v>1.6800000000000002</v>
      </c>
      <c r="N31" s="535"/>
    </row>
    <row r="32" spans="1:19" s="113" customFormat="1">
      <c r="A32" s="490"/>
      <c r="B32" s="572" t="s">
        <v>672</v>
      </c>
      <c r="C32" s="568">
        <v>1</v>
      </c>
      <c r="D32" s="14" t="s">
        <v>45</v>
      </c>
      <c r="E32" s="569">
        <v>1</v>
      </c>
      <c r="F32" s="14" t="s">
        <v>45</v>
      </c>
      <c r="G32" s="569">
        <v>4.5</v>
      </c>
      <c r="H32" s="14" t="s">
        <v>45</v>
      </c>
      <c r="I32" s="570">
        <v>3.5</v>
      </c>
      <c r="J32" s="14" t="s">
        <v>45</v>
      </c>
      <c r="K32" s="571">
        <v>0.1</v>
      </c>
      <c r="L32" s="14" t="s">
        <v>46</v>
      </c>
      <c r="M32" s="488">
        <f t="shared" ref="M32" si="3">C32*E32*K32*G32*I32</f>
        <v>1.575</v>
      </c>
      <c r="N32" s="535"/>
    </row>
    <row r="33" spans="1:14" s="113" customFormat="1">
      <c r="A33" s="490"/>
      <c r="B33" s="535"/>
      <c r="C33" s="14"/>
      <c r="D33" s="14"/>
      <c r="E33" s="14"/>
      <c r="F33" s="14"/>
      <c r="G33" s="14"/>
      <c r="H33" s="14"/>
      <c r="I33" s="495"/>
      <c r="J33" s="14"/>
      <c r="K33" s="14"/>
      <c r="L33" s="14" t="s">
        <v>46</v>
      </c>
      <c r="M33" s="488"/>
      <c r="N33" s="535"/>
    </row>
    <row r="34" spans="1:14" s="114" customFormat="1" ht="12" customHeight="1">
      <c r="A34" s="485"/>
      <c r="B34" s="536"/>
      <c r="C34" s="534"/>
      <c r="D34" s="534"/>
      <c r="E34" s="534"/>
      <c r="F34" s="534"/>
      <c r="G34" s="40"/>
      <c r="H34" s="534"/>
      <c r="I34" s="494"/>
      <c r="J34" s="534"/>
      <c r="K34" s="40" t="s">
        <v>94</v>
      </c>
      <c r="L34" s="111"/>
      <c r="M34" s="40">
        <f>SUM(M29:M33)</f>
        <v>6.819</v>
      </c>
      <c r="N34" s="536"/>
    </row>
    <row r="35" spans="1:14">
      <c r="G35" s="112"/>
      <c r="K35" s="534" t="s">
        <v>120</v>
      </c>
      <c r="L35" s="111" t="s">
        <v>46</v>
      </c>
      <c r="M35" s="40">
        <f>ROUNDUP(M34,0)</f>
        <v>7</v>
      </c>
      <c r="N35" s="536" t="str">
        <f>N28</f>
        <v>C.um</v>
      </c>
    </row>
    <row r="36" spans="1:14">
      <c r="G36" s="112"/>
      <c r="L36" s="111"/>
    </row>
    <row r="37" spans="1:14" ht="70.5" customHeight="1">
      <c r="A37" s="485">
        <v>4</v>
      </c>
      <c r="B37" s="937" t="s">
        <v>613</v>
      </c>
      <c r="C37" s="937"/>
      <c r="D37" s="937"/>
      <c r="E37" s="937"/>
      <c r="F37" s="937"/>
      <c r="G37" s="937"/>
      <c r="H37" s="937"/>
      <c r="I37" s="937"/>
      <c r="J37" s="937"/>
      <c r="K37" s="937"/>
      <c r="L37" s="937"/>
      <c r="M37" s="937"/>
      <c r="N37" s="108" t="s">
        <v>606</v>
      </c>
    </row>
    <row r="38" spans="1:14" s="113" customFormat="1">
      <c r="A38" s="490"/>
      <c r="B38" s="573" t="s">
        <v>673</v>
      </c>
      <c r="C38" s="568">
        <v>1</v>
      </c>
      <c r="D38" s="14" t="s">
        <v>45</v>
      </c>
      <c r="E38" s="569">
        <v>14</v>
      </c>
      <c r="F38" s="14" t="s">
        <v>45</v>
      </c>
      <c r="G38" s="569">
        <v>1.2</v>
      </c>
      <c r="H38" s="14" t="s">
        <v>45</v>
      </c>
      <c r="I38" s="574">
        <v>1.2</v>
      </c>
      <c r="J38" s="14" t="s">
        <v>45</v>
      </c>
      <c r="K38" s="571">
        <v>0.45</v>
      </c>
      <c r="L38" s="14" t="s">
        <v>46</v>
      </c>
      <c r="M38" s="488">
        <f>C38*E38*K38*G38*I38</f>
        <v>9.0719999999999992</v>
      </c>
      <c r="N38" s="535"/>
    </row>
    <row r="39" spans="1:14" s="114" customFormat="1">
      <c r="A39" s="485"/>
      <c r="B39" s="536"/>
      <c r="C39" s="534"/>
      <c r="D39" s="534"/>
      <c r="E39" s="534"/>
      <c r="F39" s="534"/>
      <c r="G39" s="40"/>
      <c r="H39" s="534"/>
      <c r="I39" s="494"/>
      <c r="J39" s="534"/>
      <c r="K39" s="40" t="s">
        <v>94</v>
      </c>
      <c r="L39" s="111"/>
      <c r="M39" s="40">
        <f>SUM(M38:M38)</f>
        <v>9.0719999999999992</v>
      </c>
      <c r="N39" s="536"/>
    </row>
    <row r="40" spans="1:14">
      <c r="G40" s="112"/>
      <c r="K40" s="534" t="s">
        <v>120</v>
      </c>
      <c r="L40" s="111" t="s">
        <v>46</v>
      </c>
      <c r="M40" s="40">
        <f>M39</f>
        <v>9.0719999999999992</v>
      </c>
      <c r="N40" s="536" t="str">
        <f>N37</f>
        <v>C.um</v>
      </c>
    </row>
    <row r="41" spans="1:14">
      <c r="M41" s="40" t="s">
        <v>53</v>
      </c>
    </row>
    <row r="42" spans="1:14" ht="72" customHeight="1">
      <c r="A42" s="485">
        <v>5</v>
      </c>
      <c r="B42" s="932" t="s">
        <v>683</v>
      </c>
      <c r="C42" s="932"/>
      <c r="D42" s="932"/>
      <c r="E42" s="932"/>
      <c r="F42" s="932"/>
      <c r="G42" s="932"/>
      <c r="H42" s="932"/>
      <c r="I42" s="932"/>
      <c r="J42" s="932"/>
      <c r="K42" s="932"/>
      <c r="L42" s="932"/>
      <c r="M42" s="932"/>
      <c r="N42" s="108" t="s">
        <v>606</v>
      </c>
    </row>
    <row r="43" spans="1:14" s="113" customFormat="1">
      <c r="A43" s="490"/>
      <c r="B43" s="573" t="s">
        <v>611</v>
      </c>
      <c r="C43" s="568">
        <v>1</v>
      </c>
      <c r="D43" s="14" t="s">
        <v>45</v>
      </c>
      <c r="E43" s="569">
        <v>14</v>
      </c>
      <c r="F43" s="14" t="s">
        <v>45</v>
      </c>
      <c r="G43" s="569">
        <v>0.23</v>
      </c>
      <c r="H43" s="14" t="s">
        <v>45</v>
      </c>
      <c r="I43" s="570">
        <v>0.3</v>
      </c>
      <c r="J43" s="14" t="s">
        <v>45</v>
      </c>
      <c r="K43" s="571">
        <v>5</v>
      </c>
      <c r="L43" s="14" t="s">
        <v>46</v>
      </c>
      <c r="M43" s="488">
        <f>C43*E43*K43*G43*I43</f>
        <v>4.83</v>
      </c>
      <c r="N43" s="535"/>
    </row>
    <row r="44" spans="1:14" s="114" customFormat="1" ht="12" customHeight="1">
      <c r="A44" s="485"/>
      <c r="B44" s="536"/>
      <c r="C44" s="534"/>
      <c r="D44" s="534"/>
      <c r="E44" s="534"/>
      <c r="F44" s="534"/>
      <c r="G44" s="40"/>
      <c r="H44" s="534"/>
      <c r="I44" s="494"/>
      <c r="J44" s="534"/>
      <c r="K44" s="40" t="s">
        <v>94</v>
      </c>
      <c r="L44" s="111"/>
      <c r="M44" s="40">
        <f>SUM(M43)</f>
        <v>4.83</v>
      </c>
      <c r="N44" s="536"/>
    </row>
    <row r="45" spans="1:14">
      <c r="G45" s="112"/>
      <c r="K45" s="534" t="s">
        <v>120</v>
      </c>
      <c r="L45" s="111" t="s">
        <v>46</v>
      </c>
      <c r="M45" s="40">
        <f>M44</f>
        <v>4.83</v>
      </c>
      <c r="N45" s="536" t="str">
        <f>N42</f>
        <v>C.um</v>
      </c>
    </row>
    <row r="47" spans="1:14" ht="82.5" customHeight="1">
      <c r="A47" s="485">
        <v>6</v>
      </c>
      <c r="B47" s="932" t="s">
        <v>614</v>
      </c>
      <c r="C47" s="933"/>
      <c r="D47" s="933"/>
      <c r="E47" s="933"/>
      <c r="F47" s="933"/>
      <c r="G47" s="933"/>
      <c r="H47" s="933"/>
      <c r="I47" s="933"/>
      <c r="J47" s="933"/>
      <c r="K47" s="933"/>
      <c r="L47" s="933"/>
      <c r="M47" s="933"/>
      <c r="N47" s="108" t="s">
        <v>606</v>
      </c>
    </row>
    <row r="48" spans="1:14" s="113" customFormat="1">
      <c r="A48" s="490"/>
      <c r="B48" s="573" t="s">
        <v>674</v>
      </c>
      <c r="C48" s="568">
        <v>2</v>
      </c>
      <c r="D48" s="14" t="s">
        <v>45</v>
      </c>
      <c r="E48" s="569">
        <v>4</v>
      </c>
      <c r="F48" s="14" t="s">
        <v>45</v>
      </c>
      <c r="G48" s="569">
        <v>2.6</v>
      </c>
      <c r="H48" s="14" t="s">
        <v>45</v>
      </c>
      <c r="I48" s="570">
        <v>0.23</v>
      </c>
      <c r="J48" s="14" t="s">
        <v>45</v>
      </c>
      <c r="K48" s="571">
        <v>0.3</v>
      </c>
      <c r="L48" s="14" t="s">
        <v>46</v>
      </c>
      <c r="M48" s="488">
        <f>C48*E48*K48*G48*I48</f>
        <v>1.4352</v>
      </c>
      <c r="N48" s="535"/>
    </row>
    <row r="49" spans="1:14" s="113" customFormat="1">
      <c r="A49" s="490"/>
      <c r="B49" s="573" t="s">
        <v>676</v>
      </c>
      <c r="C49" s="568">
        <v>3</v>
      </c>
      <c r="D49" s="14" t="s">
        <v>45</v>
      </c>
      <c r="E49" s="569">
        <v>5</v>
      </c>
      <c r="F49" s="14" t="s">
        <v>45</v>
      </c>
      <c r="G49" s="569">
        <v>3.6</v>
      </c>
      <c r="H49" s="14" t="s">
        <v>45</v>
      </c>
      <c r="I49" s="570">
        <v>0.23</v>
      </c>
      <c r="J49" s="14" t="s">
        <v>45</v>
      </c>
      <c r="K49" s="571">
        <v>0.23</v>
      </c>
      <c r="L49" s="14" t="s">
        <v>46</v>
      </c>
      <c r="M49" s="488">
        <f>C49*E49*K49*G49*I49</f>
        <v>2.8566000000000007</v>
      </c>
      <c r="N49" s="535"/>
    </row>
    <row r="50" spans="1:14">
      <c r="B50" s="573" t="s">
        <v>675</v>
      </c>
      <c r="C50" s="568">
        <v>2</v>
      </c>
      <c r="D50" s="14" t="s">
        <v>45</v>
      </c>
      <c r="E50" s="569">
        <v>8</v>
      </c>
      <c r="F50" s="14" t="s">
        <v>45</v>
      </c>
      <c r="G50" s="569">
        <v>1.27</v>
      </c>
      <c r="H50" s="14" t="s">
        <v>45</v>
      </c>
      <c r="I50" s="570">
        <v>0.23</v>
      </c>
      <c r="J50" s="14" t="s">
        <v>45</v>
      </c>
      <c r="K50" s="571">
        <v>0.3</v>
      </c>
      <c r="L50" s="14" t="s">
        <v>46</v>
      </c>
      <c r="M50" s="488">
        <f>C50*E50*K50*G50*I50</f>
        <v>1.40208</v>
      </c>
    </row>
    <row r="51" spans="1:14" s="114" customFormat="1" ht="12" customHeight="1">
      <c r="A51" s="485"/>
      <c r="B51" s="536"/>
      <c r="C51" s="534"/>
      <c r="D51" s="534"/>
      <c r="E51" s="534"/>
      <c r="F51" s="534"/>
      <c r="G51" s="40"/>
      <c r="H51" s="534"/>
      <c r="I51" s="494"/>
      <c r="J51" s="534"/>
      <c r="K51" s="40" t="s">
        <v>94</v>
      </c>
      <c r="L51" s="111"/>
      <c r="M51" s="40">
        <f>SUM(M48:M50)</f>
        <v>5.6938800000000001</v>
      </c>
      <c r="N51" s="536"/>
    </row>
    <row r="52" spans="1:14">
      <c r="G52" s="112"/>
      <c r="K52" s="534" t="s">
        <v>120</v>
      </c>
      <c r="L52" s="111" t="s">
        <v>46</v>
      </c>
      <c r="M52" s="40">
        <f>M51</f>
        <v>5.6938800000000001</v>
      </c>
      <c r="N52" s="536" t="str">
        <f>N47</f>
        <v>C.um</v>
      </c>
    </row>
    <row r="53" spans="1:14">
      <c r="G53" s="112"/>
      <c r="L53" s="111"/>
    </row>
    <row r="54" spans="1:14" ht="90.75" customHeight="1">
      <c r="A54" s="485">
        <v>7</v>
      </c>
      <c r="B54" s="932" t="s">
        <v>692</v>
      </c>
      <c r="C54" s="933"/>
      <c r="D54" s="933"/>
      <c r="E54" s="933"/>
      <c r="F54" s="933"/>
      <c r="G54" s="933"/>
      <c r="H54" s="933"/>
      <c r="I54" s="933"/>
      <c r="J54" s="933"/>
      <c r="K54" s="933"/>
      <c r="L54" s="933"/>
      <c r="M54" s="933"/>
      <c r="N54" s="536" t="s">
        <v>677</v>
      </c>
    </row>
    <row r="55" spans="1:14">
      <c r="B55" s="573" t="s">
        <v>693</v>
      </c>
      <c r="C55" s="568">
        <v>1</v>
      </c>
      <c r="D55" s="14" t="s">
        <v>45</v>
      </c>
      <c r="E55" s="569">
        <v>1</v>
      </c>
      <c r="F55" s="14" t="s">
        <v>45</v>
      </c>
      <c r="G55" s="569">
        <v>3.9</v>
      </c>
      <c r="H55" s="14" t="s">
        <v>45</v>
      </c>
      <c r="I55" s="570">
        <v>4.2</v>
      </c>
      <c r="J55" s="14" t="s">
        <v>45</v>
      </c>
      <c r="K55" s="571">
        <v>0.15</v>
      </c>
      <c r="L55" s="14" t="s">
        <v>46</v>
      </c>
      <c r="M55" s="488">
        <f>C55*E55*K55*G55*I55</f>
        <v>2.4569999999999999</v>
      </c>
      <c r="N55" s="535"/>
    </row>
    <row r="56" spans="1:14">
      <c r="B56" s="573"/>
      <c r="C56" s="568">
        <v>1</v>
      </c>
      <c r="D56" s="14" t="s">
        <v>45</v>
      </c>
      <c r="E56" s="569">
        <v>1</v>
      </c>
      <c r="F56" s="14" t="s">
        <v>45</v>
      </c>
      <c r="G56" s="569">
        <v>14</v>
      </c>
      <c r="H56" s="14" t="s">
        <v>45</v>
      </c>
      <c r="I56" s="570">
        <v>6</v>
      </c>
      <c r="J56" s="14" t="s">
        <v>45</v>
      </c>
      <c r="K56" s="571">
        <v>0.15</v>
      </c>
      <c r="L56" s="14" t="s">
        <v>46</v>
      </c>
      <c r="M56" s="488">
        <f>C56*E56*K56*G56*I56</f>
        <v>12.600000000000001</v>
      </c>
      <c r="N56" s="535"/>
    </row>
    <row r="57" spans="1:14" ht="12.75">
      <c r="B57" s="558"/>
      <c r="C57" s="559"/>
      <c r="D57" s="554"/>
      <c r="E57" s="560"/>
      <c r="F57" s="554"/>
      <c r="G57" s="560"/>
      <c r="H57" s="554"/>
      <c r="I57" s="562"/>
      <c r="J57" s="554"/>
      <c r="K57" s="561"/>
      <c r="L57" s="14"/>
      <c r="M57" s="488"/>
    </row>
    <row r="58" spans="1:14">
      <c r="G58" s="40"/>
      <c r="K58" s="40" t="s">
        <v>94</v>
      </c>
      <c r="L58" s="111"/>
      <c r="M58" s="40">
        <f>SUM(M55:M57)</f>
        <v>15.057000000000002</v>
      </c>
    </row>
    <row r="59" spans="1:14">
      <c r="G59" s="112"/>
      <c r="K59" s="534" t="s">
        <v>120</v>
      </c>
      <c r="L59" s="111" t="s">
        <v>46</v>
      </c>
      <c r="M59" s="40">
        <f>M58</f>
        <v>15.057000000000002</v>
      </c>
      <c r="N59" s="536" t="s">
        <v>677</v>
      </c>
    </row>
    <row r="60" spans="1:14">
      <c r="G60" s="112"/>
      <c r="L60" s="111"/>
    </row>
    <row r="61" spans="1:14" ht="57.75" customHeight="1">
      <c r="A61" s="485">
        <v>8</v>
      </c>
      <c r="B61" s="932" t="s">
        <v>615</v>
      </c>
      <c r="C61" s="933"/>
      <c r="D61" s="933"/>
      <c r="E61" s="933"/>
      <c r="F61" s="933"/>
      <c r="G61" s="933"/>
      <c r="H61" s="933"/>
      <c r="I61" s="933"/>
      <c r="J61" s="933"/>
      <c r="K61" s="933"/>
      <c r="L61" s="933"/>
      <c r="M61" s="933"/>
      <c r="N61" s="108" t="s">
        <v>616</v>
      </c>
    </row>
    <row r="62" spans="1:14" s="113" customFormat="1" ht="22.5">
      <c r="A62" s="490"/>
      <c r="B62" s="569" t="s">
        <v>617</v>
      </c>
      <c r="C62" s="568">
        <v>1</v>
      </c>
      <c r="D62" s="14" t="s">
        <v>45</v>
      </c>
      <c r="E62" s="569">
        <v>1</v>
      </c>
      <c r="F62" s="14" t="s">
        <v>45</v>
      </c>
      <c r="G62" s="571">
        <f>M40</f>
        <v>9.0719999999999992</v>
      </c>
      <c r="H62" s="14" t="s">
        <v>45</v>
      </c>
      <c r="I62" s="575">
        <v>80</v>
      </c>
      <c r="J62" s="14" t="s">
        <v>45</v>
      </c>
      <c r="K62" s="571"/>
      <c r="L62" s="14" t="s">
        <v>46</v>
      </c>
      <c r="M62" s="488">
        <f>C62*E62*G62*I62</f>
        <v>725.76</v>
      </c>
      <c r="N62" s="535" t="s">
        <v>619</v>
      </c>
    </row>
    <row r="63" spans="1:14" s="113" customFormat="1">
      <c r="A63" s="490"/>
      <c r="B63" s="569" t="s">
        <v>611</v>
      </c>
      <c r="C63" s="568">
        <v>1</v>
      </c>
      <c r="D63" s="14" t="s">
        <v>45</v>
      </c>
      <c r="E63" s="569">
        <v>1</v>
      </c>
      <c r="F63" s="14" t="s">
        <v>45</v>
      </c>
      <c r="G63" s="571">
        <f>M45</f>
        <v>4.83</v>
      </c>
      <c r="H63" s="14" t="s">
        <v>45</v>
      </c>
      <c r="I63" s="575">
        <v>110</v>
      </c>
      <c r="J63" s="14" t="s">
        <v>45</v>
      </c>
      <c r="K63" s="571"/>
      <c r="L63" s="14" t="s">
        <v>46</v>
      </c>
      <c r="M63" s="488">
        <f t="shared" ref="M63:M65" si="4">C63*E63*G63*I63</f>
        <v>531.29999999999995</v>
      </c>
      <c r="N63" s="535"/>
    </row>
    <row r="64" spans="1:14" s="113" customFormat="1">
      <c r="A64" s="490"/>
      <c r="B64" s="569" t="s">
        <v>618</v>
      </c>
      <c r="C64" s="568">
        <v>2</v>
      </c>
      <c r="D64" s="14" t="s">
        <v>45</v>
      </c>
      <c r="E64" s="569">
        <v>2</v>
      </c>
      <c r="F64" s="14" t="s">
        <v>45</v>
      </c>
      <c r="G64" s="571">
        <f>M52</f>
        <v>5.6938800000000001</v>
      </c>
      <c r="H64" s="14" t="s">
        <v>45</v>
      </c>
      <c r="I64" s="575">
        <v>150</v>
      </c>
      <c r="J64" s="14" t="s">
        <v>45</v>
      </c>
      <c r="K64" s="571"/>
      <c r="L64" s="14" t="s">
        <v>46</v>
      </c>
      <c r="M64" s="488">
        <f t="shared" ref="M64" si="5">C64*E64*G64*I64</f>
        <v>3416.328</v>
      </c>
      <c r="N64" s="535"/>
    </row>
    <row r="65" spans="1:14" s="113" customFormat="1">
      <c r="A65" s="490"/>
      <c r="B65" s="569" t="s">
        <v>694</v>
      </c>
      <c r="C65" s="568">
        <v>1</v>
      </c>
      <c r="D65" s="14" t="s">
        <v>45</v>
      </c>
      <c r="E65" s="569">
        <v>1</v>
      </c>
      <c r="F65" s="14" t="s">
        <v>45</v>
      </c>
      <c r="G65" s="571">
        <f>M59</f>
        <v>15.057000000000002</v>
      </c>
      <c r="H65" s="14" t="s">
        <v>45</v>
      </c>
      <c r="I65" s="575">
        <v>100</v>
      </c>
      <c r="J65" s="14" t="s">
        <v>45</v>
      </c>
      <c r="K65" s="571"/>
      <c r="L65" s="14" t="s">
        <v>46</v>
      </c>
      <c r="M65" s="488">
        <f t="shared" si="4"/>
        <v>1505.7000000000003</v>
      </c>
      <c r="N65" s="535"/>
    </row>
    <row r="66" spans="1:14" s="113" customFormat="1" ht="14.25">
      <c r="A66" s="490"/>
      <c r="B66" s="505"/>
      <c r="C66" s="14"/>
      <c r="D66" s="14"/>
      <c r="E66" s="14"/>
      <c r="F66" s="14"/>
      <c r="G66" s="488"/>
      <c r="H66" s="488"/>
      <c r="I66" s="495"/>
      <c r="J66" s="488"/>
      <c r="K66" s="488"/>
      <c r="L66" s="488"/>
      <c r="M66" s="488"/>
      <c r="N66" s="535"/>
    </row>
    <row r="67" spans="1:14" s="114" customFormat="1" ht="12" customHeight="1">
      <c r="A67" s="485"/>
      <c r="C67" s="534"/>
      <c r="D67" s="534"/>
      <c r="E67" s="534"/>
      <c r="F67" s="534"/>
      <c r="G67" s="40"/>
      <c r="H67" s="534"/>
      <c r="I67" s="494"/>
      <c r="J67" s="534"/>
      <c r="K67" s="40" t="s">
        <v>94</v>
      </c>
      <c r="L67" s="111"/>
      <c r="M67" s="40">
        <f>SUM(M62:M66)</f>
        <v>6179.0879999999997</v>
      </c>
      <c r="N67" s="536" t="s">
        <v>620</v>
      </c>
    </row>
    <row r="68" spans="1:14">
      <c r="G68" s="112"/>
      <c r="K68" s="534" t="s">
        <v>120</v>
      </c>
      <c r="L68" s="111" t="s">
        <v>46</v>
      </c>
      <c r="M68" s="112">
        <f>ROUNDUP(M67,0)/1000</f>
        <v>6.18</v>
      </c>
      <c r="N68" s="536" t="s">
        <v>135</v>
      </c>
    </row>
    <row r="69" spans="1:14">
      <c r="G69" s="112"/>
      <c r="L69" s="111"/>
    </row>
    <row r="70" spans="1:14" s="12" customFormat="1" ht="38.25" customHeight="1">
      <c r="A70" s="491">
        <v>9</v>
      </c>
      <c r="B70" s="938" t="s">
        <v>621</v>
      </c>
      <c r="C70" s="938"/>
      <c r="D70" s="938"/>
      <c r="E70" s="938"/>
      <c r="F70" s="938"/>
      <c r="G70" s="938"/>
      <c r="H70" s="938"/>
      <c r="I70" s="938"/>
      <c r="J70" s="938"/>
      <c r="K70" s="938"/>
      <c r="L70" s="938"/>
      <c r="M70" s="938"/>
      <c r="N70" s="108" t="s">
        <v>83</v>
      </c>
    </row>
    <row r="71" spans="1:14" s="113" customFormat="1">
      <c r="A71" s="490"/>
      <c r="B71" s="573"/>
      <c r="C71" s="568">
        <v>2</v>
      </c>
      <c r="D71" s="14" t="s">
        <v>45</v>
      </c>
      <c r="E71" s="569">
        <v>4</v>
      </c>
      <c r="F71" s="14" t="s">
        <v>45</v>
      </c>
      <c r="G71" s="569">
        <v>2.6</v>
      </c>
      <c r="H71" s="14" t="s">
        <v>45</v>
      </c>
      <c r="I71" s="570">
        <v>0.23</v>
      </c>
      <c r="J71" s="14" t="s">
        <v>45</v>
      </c>
      <c r="K71" s="571">
        <v>0.45</v>
      </c>
      <c r="L71" s="14" t="s">
        <v>46</v>
      </c>
      <c r="M71" s="488">
        <f>C71*E71*K71*G71*I71</f>
        <v>2.1528000000000005</v>
      </c>
      <c r="N71" s="535"/>
    </row>
    <row r="72" spans="1:14">
      <c r="B72" s="573"/>
      <c r="C72" s="568">
        <v>2</v>
      </c>
      <c r="D72" s="14" t="s">
        <v>45</v>
      </c>
      <c r="E72" s="569">
        <v>8</v>
      </c>
      <c r="F72" s="14" t="s">
        <v>45</v>
      </c>
      <c r="G72" s="569">
        <v>3.5</v>
      </c>
      <c r="H72" s="14" t="s">
        <v>45</v>
      </c>
      <c r="I72" s="570">
        <v>0.23</v>
      </c>
      <c r="J72" s="14" t="s">
        <v>45</v>
      </c>
      <c r="K72" s="571">
        <v>0.45</v>
      </c>
      <c r="L72" s="14" t="s">
        <v>46</v>
      </c>
      <c r="M72" s="488">
        <f t="shared" ref="M72" si="6">C72*E72*K72*G72*I72</f>
        <v>5.7960000000000003</v>
      </c>
    </row>
    <row r="73" spans="1:14" s="12" customFormat="1" ht="11.25" customHeight="1">
      <c r="A73" s="491"/>
      <c r="B73" s="536"/>
      <c r="C73" s="108"/>
      <c r="D73" s="108"/>
      <c r="E73" s="108"/>
      <c r="F73" s="536"/>
      <c r="G73" s="536"/>
      <c r="H73" s="536"/>
      <c r="I73" s="494"/>
      <c r="J73" s="536"/>
      <c r="K73" s="536"/>
      <c r="L73" s="42"/>
      <c r="M73" s="40"/>
      <c r="N73" s="44"/>
    </row>
    <row r="74" spans="1:14" s="12" customFormat="1" ht="17.25" customHeight="1">
      <c r="A74" s="491"/>
      <c r="B74" s="44"/>
      <c r="C74" s="34"/>
      <c r="D74" s="34"/>
      <c r="E74" s="34"/>
      <c r="G74" s="39"/>
      <c r="I74" s="496"/>
      <c r="K74" s="39" t="s">
        <v>9</v>
      </c>
      <c r="L74" s="45"/>
      <c r="M74" s="493">
        <f>SUM(M71:M73)</f>
        <v>7.9488000000000003</v>
      </c>
      <c r="N74" s="44"/>
    </row>
    <row r="75" spans="1:14" s="12" customFormat="1" ht="12">
      <c r="A75" s="491"/>
      <c r="B75" s="44"/>
      <c r="C75" s="34"/>
      <c r="D75" s="34"/>
      <c r="E75" s="34"/>
      <c r="G75" s="46"/>
      <c r="I75" s="496"/>
      <c r="K75" s="12" t="s">
        <v>120</v>
      </c>
      <c r="L75" s="45"/>
      <c r="M75" s="40">
        <f>ROUNDUP(M74,0)</f>
        <v>8</v>
      </c>
      <c r="N75" s="44" t="str">
        <f>N70</f>
        <v>Cum</v>
      </c>
    </row>
    <row r="76" spans="1:14" s="12" customFormat="1" ht="32.25" customHeight="1">
      <c r="A76" s="491">
        <v>10</v>
      </c>
      <c r="B76" s="938" t="s">
        <v>682</v>
      </c>
      <c r="C76" s="938"/>
      <c r="D76" s="938"/>
      <c r="E76" s="938"/>
      <c r="F76" s="938"/>
      <c r="G76" s="938"/>
      <c r="H76" s="938"/>
      <c r="I76" s="938"/>
      <c r="J76" s="938"/>
      <c r="K76" s="938"/>
      <c r="L76" s="938"/>
      <c r="M76" s="938"/>
      <c r="N76" s="44" t="s">
        <v>677</v>
      </c>
    </row>
    <row r="77" spans="1:14" s="12" customFormat="1" ht="14.25">
      <c r="A77" s="491"/>
      <c r="B77" s="563"/>
      <c r="C77" s="569">
        <v>1</v>
      </c>
      <c r="D77" s="14" t="s">
        <v>45</v>
      </c>
      <c r="E77" s="569">
        <v>8</v>
      </c>
      <c r="F77" s="14" t="s">
        <v>45</v>
      </c>
      <c r="G77" s="571">
        <v>3.5</v>
      </c>
      <c r="H77" s="14" t="s">
        <v>45</v>
      </c>
      <c r="I77" s="576">
        <v>0.23</v>
      </c>
      <c r="J77" s="14" t="s">
        <v>45</v>
      </c>
      <c r="K77" s="571">
        <v>3</v>
      </c>
      <c r="L77" s="14" t="s">
        <v>46</v>
      </c>
      <c r="M77" s="488">
        <f t="shared" ref="M77:M79" si="7">C77*E77*K77*G77*I77</f>
        <v>19.32</v>
      </c>
      <c r="N77" s="535"/>
    </row>
    <row r="78" spans="1:14" s="12" customFormat="1" ht="14.25">
      <c r="A78" s="491"/>
      <c r="B78" s="563"/>
      <c r="C78" s="569">
        <v>1</v>
      </c>
      <c r="D78" s="14" t="s">
        <v>45</v>
      </c>
      <c r="E78" s="569">
        <v>1</v>
      </c>
      <c r="F78" s="14" t="s">
        <v>45</v>
      </c>
      <c r="G78" s="571">
        <v>5.63</v>
      </c>
      <c r="H78" s="14" t="s">
        <v>45</v>
      </c>
      <c r="I78" s="576">
        <v>0.23</v>
      </c>
      <c r="J78" s="14" t="s">
        <v>45</v>
      </c>
      <c r="K78" s="571">
        <v>1.5</v>
      </c>
      <c r="L78" s="14" t="s">
        <v>46</v>
      </c>
      <c r="M78" s="488">
        <f t="shared" si="7"/>
        <v>1.9423500000000002</v>
      </c>
      <c r="N78" s="535"/>
    </row>
    <row r="79" spans="1:14" s="12" customFormat="1" ht="14.25">
      <c r="A79" s="491"/>
      <c r="B79" s="563"/>
      <c r="C79" s="569">
        <v>1</v>
      </c>
      <c r="D79" s="14" t="s">
        <v>45</v>
      </c>
      <c r="E79" s="569">
        <v>2</v>
      </c>
      <c r="F79" s="14" t="s">
        <v>45</v>
      </c>
      <c r="G79" s="571">
        <v>15.84</v>
      </c>
      <c r="H79" s="14" t="s">
        <v>45</v>
      </c>
      <c r="I79" s="576">
        <v>0.23</v>
      </c>
      <c r="J79" s="14" t="s">
        <v>45</v>
      </c>
      <c r="K79" s="571">
        <v>0.9</v>
      </c>
      <c r="L79" s="14" t="s">
        <v>46</v>
      </c>
      <c r="M79" s="488">
        <f t="shared" si="7"/>
        <v>6.55776</v>
      </c>
      <c r="N79" s="535"/>
    </row>
    <row r="80" spans="1:14" s="12" customFormat="1" ht="14.25">
      <c r="A80" s="491"/>
      <c r="B80" s="563"/>
      <c r="C80" s="569">
        <v>1</v>
      </c>
      <c r="D80" s="14" t="s">
        <v>45</v>
      </c>
      <c r="E80" s="569">
        <v>2</v>
      </c>
      <c r="F80" s="14" t="s">
        <v>45</v>
      </c>
      <c r="G80" s="571">
        <v>6.7</v>
      </c>
      <c r="H80" s="14" t="s">
        <v>45</v>
      </c>
      <c r="I80" s="576">
        <v>0.23</v>
      </c>
      <c r="J80" s="14" t="s">
        <v>45</v>
      </c>
      <c r="K80" s="571">
        <v>0.9</v>
      </c>
      <c r="L80" s="14" t="s">
        <v>46</v>
      </c>
      <c r="M80" s="488">
        <f t="shared" ref="M80:M84" si="8">C80*E80*K80*G80*I80</f>
        <v>2.7738</v>
      </c>
      <c r="N80" s="535"/>
    </row>
    <row r="81" spans="1:14" s="12" customFormat="1" ht="14.25">
      <c r="A81" s="491"/>
      <c r="B81" s="563"/>
      <c r="C81" s="569"/>
      <c r="D81" s="14"/>
      <c r="E81" s="569"/>
      <c r="F81" s="14"/>
      <c r="G81" s="571"/>
      <c r="H81" s="14"/>
      <c r="I81" s="576"/>
      <c r="J81" s="14"/>
      <c r="K81" s="571"/>
      <c r="L81" s="14"/>
      <c r="M81" s="488">
        <f>SUM(M77:M80)</f>
        <v>30.593910000000001</v>
      </c>
      <c r="N81" s="535"/>
    </row>
    <row r="82" spans="1:14" s="12" customFormat="1" ht="14.25">
      <c r="A82" s="491"/>
      <c r="B82" s="563"/>
      <c r="C82" s="569">
        <v>1</v>
      </c>
      <c r="D82" s="14" t="s">
        <v>45</v>
      </c>
      <c r="E82" s="569">
        <v>2</v>
      </c>
      <c r="F82" s="14" t="s">
        <v>45</v>
      </c>
      <c r="G82" s="571">
        <v>3</v>
      </c>
      <c r="H82" s="14" t="s">
        <v>45</v>
      </c>
      <c r="I82" s="576">
        <v>0.23</v>
      </c>
      <c r="J82" s="14" t="s">
        <v>45</v>
      </c>
      <c r="K82" s="571">
        <v>2.4</v>
      </c>
      <c r="L82" s="14" t="s">
        <v>46</v>
      </c>
      <c r="M82" s="488">
        <f t="shared" si="8"/>
        <v>3.3119999999999998</v>
      </c>
      <c r="N82" s="535"/>
    </row>
    <row r="83" spans="1:14" s="12" customFormat="1" ht="14.25">
      <c r="A83" s="491"/>
      <c r="B83" s="563"/>
      <c r="C83" s="569">
        <v>1</v>
      </c>
      <c r="D83" s="14" t="s">
        <v>45</v>
      </c>
      <c r="E83" s="569">
        <v>1</v>
      </c>
      <c r="F83" s="14" t="s">
        <v>45</v>
      </c>
      <c r="G83" s="571">
        <v>1.2</v>
      </c>
      <c r="H83" s="14" t="s">
        <v>45</v>
      </c>
      <c r="I83" s="576">
        <v>0.23</v>
      </c>
      <c r="J83" s="14" t="s">
        <v>45</v>
      </c>
      <c r="K83" s="571">
        <v>2.1</v>
      </c>
      <c r="L83" s="14" t="s">
        <v>46</v>
      </c>
      <c r="M83" s="488">
        <f t="shared" si="8"/>
        <v>0.5796</v>
      </c>
      <c r="N83" s="535"/>
    </row>
    <row r="84" spans="1:14" s="12" customFormat="1" ht="14.25">
      <c r="A84" s="491"/>
      <c r="B84" s="563"/>
      <c r="C84" s="569">
        <v>1</v>
      </c>
      <c r="D84" s="14" t="s">
        <v>45</v>
      </c>
      <c r="E84" s="569">
        <v>9</v>
      </c>
      <c r="F84" s="14" t="s">
        <v>45</v>
      </c>
      <c r="G84" s="571">
        <v>1.2</v>
      </c>
      <c r="H84" s="14" t="s">
        <v>45</v>
      </c>
      <c r="I84" s="576">
        <v>0.23</v>
      </c>
      <c r="J84" s="14" t="s">
        <v>45</v>
      </c>
      <c r="K84" s="571">
        <v>1.2</v>
      </c>
      <c r="L84" s="14" t="s">
        <v>46</v>
      </c>
      <c r="M84" s="488">
        <f t="shared" si="8"/>
        <v>2.9807999999999999</v>
      </c>
      <c r="N84" s="535"/>
    </row>
    <row r="85" spans="1:14" s="12" customFormat="1" ht="14.25">
      <c r="A85" s="491"/>
      <c r="B85" s="564"/>
      <c r="C85" s="577"/>
      <c r="D85" s="14"/>
      <c r="E85" s="578"/>
      <c r="F85" s="14"/>
      <c r="G85" s="579"/>
      <c r="H85" s="14"/>
      <c r="I85" s="580"/>
      <c r="J85" s="14"/>
      <c r="K85" s="576"/>
      <c r="L85" s="14"/>
      <c r="M85" s="488">
        <f>SUM(M82:M84)</f>
        <v>6.8723999999999998</v>
      </c>
      <c r="N85" s="535"/>
    </row>
    <row r="86" spans="1:14" s="12" customFormat="1" ht="12">
      <c r="A86" s="491"/>
      <c r="B86" s="42"/>
      <c r="C86" s="534"/>
      <c r="D86" s="534"/>
      <c r="E86" s="534"/>
      <c r="F86" s="534"/>
      <c r="G86" s="40"/>
      <c r="H86" s="534"/>
      <c r="I86" s="494"/>
      <c r="J86" s="534"/>
      <c r="K86" s="40" t="s">
        <v>94</v>
      </c>
      <c r="L86" s="115" t="s">
        <v>46</v>
      </c>
      <c r="M86" s="488">
        <f>M81-M85</f>
        <v>23.721510000000002</v>
      </c>
      <c r="N86" s="536"/>
    </row>
    <row r="87" spans="1:14" s="12" customFormat="1" ht="12">
      <c r="A87" s="491"/>
      <c r="B87" s="536"/>
      <c r="C87" s="534"/>
      <c r="D87" s="534"/>
      <c r="E87" s="534"/>
      <c r="F87" s="534"/>
      <c r="G87" s="112"/>
      <c r="H87" s="534"/>
      <c r="I87" s="494"/>
      <c r="J87" s="534"/>
      <c r="K87" s="534" t="s">
        <v>120</v>
      </c>
      <c r="L87" s="111" t="s">
        <v>46</v>
      </c>
      <c r="M87" s="40">
        <f>ROUNDUP(M86,0)</f>
        <v>24</v>
      </c>
      <c r="N87" s="536" t="str">
        <f>N76</f>
        <v>CUM</v>
      </c>
    </row>
    <row r="88" spans="1:14" s="12" customFormat="1" ht="12">
      <c r="A88" s="491"/>
      <c r="B88" s="44"/>
      <c r="C88" s="34"/>
      <c r="D88" s="34"/>
      <c r="E88" s="34"/>
      <c r="G88" s="46"/>
      <c r="I88" s="496"/>
      <c r="L88" s="45"/>
      <c r="M88" s="40"/>
      <c r="N88" s="44"/>
    </row>
    <row r="89" spans="1:14" ht="42.75" customHeight="1">
      <c r="A89" s="485">
        <v>11</v>
      </c>
      <c r="B89" s="938" t="s">
        <v>622</v>
      </c>
      <c r="C89" s="938"/>
      <c r="D89" s="938"/>
      <c r="E89" s="938"/>
      <c r="F89" s="938"/>
      <c r="G89" s="938"/>
      <c r="H89" s="938"/>
      <c r="I89" s="938"/>
      <c r="J89" s="938"/>
      <c r="K89" s="938"/>
      <c r="L89" s="938"/>
      <c r="M89" s="938"/>
      <c r="N89" s="108" t="s">
        <v>606</v>
      </c>
    </row>
    <row r="90" spans="1:14">
      <c r="B90" s="573"/>
      <c r="C90" s="568">
        <v>1</v>
      </c>
      <c r="D90" s="14" t="s">
        <v>45</v>
      </c>
      <c r="E90" s="569">
        <v>1</v>
      </c>
      <c r="F90" s="14" t="s">
        <v>45</v>
      </c>
      <c r="G90" s="569">
        <v>14.7</v>
      </c>
      <c r="H90" s="14" t="s">
        <v>45</v>
      </c>
      <c r="I90" s="570">
        <v>5.6</v>
      </c>
      <c r="J90" s="14" t="s">
        <v>45</v>
      </c>
      <c r="K90" s="571">
        <v>0.6</v>
      </c>
      <c r="L90" s="14" t="s">
        <v>46</v>
      </c>
      <c r="M90" s="488">
        <f>C90*E90*K90*G90*I90</f>
        <v>49.391999999999989</v>
      </c>
    </row>
    <row r="91" spans="1:14">
      <c r="B91" s="573"/>
      <c r="C91" s="568">
        <v>1</v>
      </c>
      <c r="D91" s="14" t="s">
        <v>45</v>
      </c>
      <c r="E91" s="569">
        <v>1</v>
      </c>
      <c r="F91" s="14" t="s">
        <v>45</v>
      </c>
      <c r="G91" s="569">
        <v>4.5</v>
      </c>
      <c r="H91" s="14" t="s">
        <v>45</v>
      </c>
      <c r="I91" s="570">
        <v>3</v>
      </c>
      <c r="J91" s="14" t="s">
        <v>45</v>
      </c>
      <c r="K91" s="571">
        <v>0.6</v>
      </c>
      <c r="L91" s="14" t="s">
        <v>46</v>
      </c>
      <c r="M91" s="488">
        <f>C91*E91*K91*G91*I91</f>
        <v>8.1</v>
      </c>
    </row>
    <row r="92" spans="1:14">
      <c r="E92" s="43"/>
      <c r="G92" s="40"/>
      <c r="K92" s="40"/>
      <c r="L92" s="111"/>
    </row>
    <row r="93" spans="1:14">
      <c r="G93" s="40"/>
      <c r="K93" s="40" t="s">
        <v>94</v>
      </c>
      <c r="L93" s="111"/>
      <c r="M93" s="40">
        <f>SUM(M90:M92)</f>
        <v>57.49199999999999</v>
      </c>
    </row>
    <row r="94" spans="1:14">
      <c r="G94" s="112"/>
      <c r="K94" s="534" t="s">
        <v>120</v>
      </c>
      <c r="L94" s="111" t="s">
        <v>46</v>
      </c>
      <c r="M94" s="40">
        <f>M93</f>
        <v>57.49199999999999</v>
      </c>
      <c r="N94" s="536" t="str">
        <f>N89</f>
        <v>C.um</v>
      </c>
    </row>
    <row r="96" spans="1:14" ht="24" customHeight="1">
      <c r="A96" s="485">
        <v>12</v>
      </c>
      <c r="B96" s="938" t="s">
        <v>623</v>
      </c>
      <c r="C96" s="938"/>
      <c r="D96" s="938"/>
      <c r="E96" s="938"/>
      <c r="F96" s="938"/>
      <c r="G96" s="938"/>
      <c r="H96" s="938"/>
      <c r="I96" s="938"/>
      <c r="J96" s="938"/>
      <c r="K96" s="938"/>
      <c r="L96" s="938"/>
      <c r="M96" s="938"/>
      <c r="N96" s="108" t="s">
        <v>624</v>
      </c>
    </row>
    <row r="97" spans="1:19" s="113" customFormat="1">
      <c r="A97" s="490"/>
      <c r="B97" s="581" t="s">
        <v>625</v>
      </c>
      <c r="C97" s="578">
        <v>1</v>
      </c>
      <c r="D97" s="14" t="s">
        <v>45</v>
      </c>
      <c r="E97" s="578">
        <v>1</v>
      </c>
      <c r="F97" s="14" t="s">
        <v>45</v>
      </c>
      <c r="G97" s="579">
        <v>14.7</v>
      </c>
      <c r="H97" s="14" t="s">
        <v>45</v>
      </c>
      <c r="I97" s="580">
        <v>5.63</v>
      </c>
      <c r="J97" s="14" t="s">
        <v>45</v>
      </c>
      <c r="K97" s="576">
        <v>0.2</v>
      </c>
      <c r="L97" s="14" t="s">
        <v>46</v>
      </c>
      <c r="M97" s="488">
        <f t="shared" ref="M97:M98" si="9">C97*E97*K97*G97*I97</f>
        <v>16.552199999999999</v>
      </c>
      <c r="N97" s="535"/>
    </row>
    <row r="98" spans="1:19" s="113" customFormat="1">
      <c r="A98" s="490"/>
      <c r="B98" s="581"/>
      <c r="C98" s="578">
        <v>0</v>
      </c>
      <c r="D98" s="14" t="s">
        <v>45</v>
      </c>
      <c r="E98" s="578">
        <v>1</v>
      </c>
      <c r="F98" s="14" t="s">
        <v>45</v>
      </c>
      <c r="G98" s="579">
        <v>4.5</v>
      </c>
      <c r="H98" s="14" t="s">
        <v>45</v>
      </c>
      <c r="I98" s="580">
        <v>3.5</v>
      </c>
      <c r="J98" s="14" t="s">
        <v>45</v>
      </c>
      <c r="K98" s="576">
        <v>0.2</v>
      </c>
      <c r="L98" s="14" t="s">
        <v>46</v>
      </c>
      <c r="M98" s="488">
        <f t="shared" si="9"/>
        <v>0</v>
      </c>
      <c r="N98" s="535"/>
    </row>
    <row r="99" spans="1:19" s="113" customFormat="1">
      <c r="A99" s="490"/>
      <c r="B99" s="572"/>
      <c r="C99" s="568"/>
      <c r="D99" s="14"/>
      <c r="E99" s="569"/>
      <c r="F99" s="14"/>
      <c r="G99" s="569"/>
      <c r="H99" s="14"/>
      <c r="I99" s="575"/>
      <c r="J99" s="14"/>
      <c r="K99" s="571"/>
      <c r="L99" s="14"/>
      <c r="M99" s="488"/>
      <c r="N99" s="535"/>
      <c r="S99" s="488"/>
    </row>
    <row r="100" spans="1:19">
      <c r="G100" s="40"/>
      <c r="K100" s="40" t="s">
        <v>94</v>
      </c>
      <c r="L100" s="115" t="s">
        <v>46</v>
      </c>
      <c r="M100" s="488">
        <f>SUM(M97:M99)</f>
        <v>16.552199999999999</v>
      </c>
      <c r="P100" s="41"/>
    </row>
    <row r="101" spans="1:19">
      <c r="G101" s="112"/>
      <c r="K101" s="534" t="s">
        <v>120</v>
      </c>
      <c r="L101" s="111" t="s">
        <v>46</v>
      </c>
      <c r="M101" s="40">
        <f>ROUNDUP(M100,0)</f>
        <v>17</v>
      </c>
      <c r="N101" s="536" t="str">
        <f>N96</f>
        <v>Sq.M</v>
      </c>
    </row>
    <row r="102" spans="1:19">
      <c r="G102" s="112"/>
      <c r="L102" s="111"/>
    </row>
    <row r="103" spans="1:19" ht="37.5" customHeight="1">
      <c r="A103" s="485">
        <v>13</v>
      </c>
      <c r="B103" s="938" t="s">
        <v>626</v>
      </c>
      <c r="C103" s="938"/>
      <c r="D103" s="938"/>
      <c r="E103" s="938"/>
      <c r="F103" s="938"/>
      <c r="G103" s="938"/>
      <c r="H103" s="938"/>
      <c r="I103" s="938"/>
      <c r="J103" s="938"/>
      <c r="K103" s="938"/>
      <c r="L103" s="938"/>
      <c r="M103" s="938"/>
      <c r="N103" s="108" t="s">
        <v>627</v>
      </c>
    </row>
    <row r="104" spans="1:19" ht="12.75" customHeight="1">
      <c r="B104" s="563"/>
      <c r="C104" s="578">
        <v>1</v>
      </c>
      <c r="D104" s="14" t="s">
        <v>45</v>
      </c>
      <c r="E104" s="578">
        <v>2</v>
      </c>
      <c r="F104" s="14" t="s">
        <v>45</v>
      </c>
      <c r="G104" s="579">
        <v>14.78</v>
      </c>
      <c r="H104" s="14" t="s">
        <v>45</v>
      </c>
      <c r="I104" s="580">
        <v>1</v>
      </c>
      <c r="J104" s="14" t="s">
        <v>45</v>
      </c>
      <c r="K104" s="576">
        <v>3</v>
      </c>
      <c r="L104" s="14" t="s">
        <v>46</v>
      </c>
      <c r="M104" s="488">
        <f t="shared" ref="M104:M107" si="10">C104*E104*K104*G104*I104</f>
        <v>88.679999999999993</v>
      </c>
      <c r="N104" s="535"/>
    </row>
    <row r="105" spans="1:19" ht="14.25">
      <c r="B105" s="563"/>
      <c r="C105" s="578">
        <v>1</v>
      </c>
      <c r="D105" s="14" t="s">
        <v>45</v>
      </c>
      <c r="E105" s="578">
        <v>2</v>
      </c>
      <c r="F105" s="14" t="s">
        <v>45</v>
      </c>
      <c r="G105" s="579">
        <v>5.63</v>
      </c>
      <c r="H105" s="14" t="s">
        <v>45</v>
      </c>
      <c r="I105" s="580">
        <v>1</v>
      </c>
      <c r="J105" s="14" t="s">
        <v>45</v>
      </c>
      <c r="K105" s="576">
        <v>3</v>
      </c>
      <c r="L105" s="14" t="s">
        <v>46</v>
      </c>
      <c r="M105" s="488">
        <f t="shared" si="10"/>
        <v>33.78</v>
      </c>
      <c r="N105" s="535"/>
    </row>
    <row r="106" spans="1:19" ht="14.25">
      <c r="B106" s="563"/>
      <c r="C106" s="578">
        <v>1</v>
      </c>
      <c r="D106" s="14" t="s">
        <v>45</v>
      </c>
      <c r="E106" s="578">
        <v>2</v>
      </c>
      <c r="F106" s="14" t="s">
        <v>45</v>
      </c>
      <c r="G106" s="579">
        <v>4.5</v>
      </c>
      <c r="H106" s="14" t="s">
        <v>45</v>
      </c>
      <c r="I106" s="580">
        <v>1</v>
      </c>
      <c r="J106" s="14" t="s">
        <v>45</v>
      </c>
      <c r="K106" s="576">
        <v>3</v>
      </c>
      <c r="L106" s="14" t="s">
        <v>46</v>
      </c>
      <c r="M106" s="488">
        <f t="shared" si="10"/>
        <v>27</v>
      </c>
      <c r="N106" s="535"/>
    </row>
    <row r="107" spans="1:19" ht="14.25">
      <c r="B107" s="563"/>
      <c r="C107" s="569">
        <v>1</v>
      </c>
      <c r="D107" s="14" t="s">
        <v>45</v>
      </c>
      <c r="E107" s="569">
        <v>2</v>
      </c>
      <c r="F107" s="14" t="s">
        <v>45</v>
      </c>
      <c r="G107" s="579">
        <v>3.5</v>
      </c>
      <c r="H107" s="14" t="s">
        <v>45</v>
      </c>
      <c r="I107" s="580">
        <v>1</v>
      </c>
      <c r="J107" s="14" t="s">
        <v>45</v>
      </c>
      <c r="K107" s="576">
        <v>3</v>
      </c>
      <c r="L107" s="14" t="s">
        <v>46</v>
      </c>
      <c r="M107" s="488">
        <f t="shared" si="10"/>
        <v>21</v>
      </c>
      <c r="N107" s="535"/>
    </row>
    <row r="108" spans="1:19" ht="14.25">
      <c r="B108" s="563"/>
      <c r="C108" s="569"/>
      <c r="D108" s="14"/>
      <c r="E108" s="569"/>
      <c r="F108" s="14"/>
      <c r="G108" s="579"/>
      <c r="H108" s="14"/>
      <c r="I108" s="580"/>
      <c r="J108" s="14"/>
      <c r="K108" s="576"/>
      <c r="L108" s="14"/>
      <c r="M108" s="488">
        <f>SUM(M104:M107)</f>
        <v>170.45999999999998</v>
      </c>
      <c r="N108" s="535"/>
    </row>
    <row r="109" spans="1:19" ht="12.75" customHeight="1">
      <c r="B109" s="563"/>
      <c r="C109" s="578">
        <v>1</v>
      </c>
      <c r="D109" s="14" t="s">
        <v>45</v>
      </c>
      <c r="E109" s="578">
        <v>2</v>
      </c>
      <c r="F109" s="14" t="s">
        <v>45</v>
      </c>
      <c r="G109" s="579">
        <v>3</v>
      </c>
      <c r="H109" s="14" t="s">
        <v>45</v>
      </c>
      <c r="I109" s="580">
        <v>1</v>
      </c>
      <c r="J109" s="14" t="s">
        <v>45</v>
      </c>
      <c r="K109" s="576">
        <v>2.4</v>
      </c>
      <c r="L109" s="14" t="s">
        <v>46</v>
      </c>
      <c r="M109" s="488">
        <f t="shared" ref="M109:M111" si="11">C109*E109*K109*G109*I109</f>
        <v>14.399999999999999</v>
      </c>
      <c r="N109" s="535"/>
    </row>
    <row r="110" spans="1:19" ht="14.25">
      <c r="B110" s="563"/>
      <c r="C110" s="578">
        <v>1</v>
      </c>
      <c r="D110" s="14" t="s">
        <v>45</v>
      </c>
      <c r="E110" s="578">
        <v>1</v>
      </c>
      <c r="F110" s="14" t="s">
        <v>45</v>
      </c>
      <c r="G110" s="579">
        <v>5.63</v>
      </c>
      <c r="H110" s="14" t="s">
        <v>45</v>
      </c>
      <c r="I110" s="580">
        <v>1</v>
      </c>
      <c r="J110" s="14" t="s">
        <v>45</v>
      </c>
      <c r="K110" s="576">
        <v>2.1</v>
      </c>
      <c r="L110" s="14" t="s">
        <v>46</v>
      </c>
      <c r="M110" s="488">
        <f t="shared" si="11"/>
        <v>11.823</v>
      </c>
      <c r="N110" s="535"/>
    </row>
    <row r="111" spans="1:19" ht="14.25">
      <c r="B111" s="563"/>
      <c r="C111" s="578">
        <v>1</v>
      </c>
      <c r="D111" s="14" t="s">
        <v>45</v>
      </c>
      <c r="E111" s="578">
        <v>9</v>
      </c>
      <c r="F111" s="14" t="s">
        <v>45</v>
      </c>
      <c r="G111" s="579">
        <v>1.2</v>
      </c>
      <c r="H111" s="14" t="s">
        <v>45</v>
      </c>
      <c r="I111" s="580">
        <v>1</v>
      </c>
      <c r="J111" s="14" t="s">
        <v>45</v>
      </c>
      <c r="K111" s="576">
        <v>1.2</v>
      </c>
      <c r="L111" s="14" t="s">
        <v>46</v>
      </c>
      <c r="M111" s="488">
        <f t="shared" si="11"/>
        <v>12.959999999999999</v>
      </c>
      <c r="N111" s="535"/>
    </row>
    <row r="112" spans="1:19" ht="14.25">
      <c r="B112" s="504"/>
      <c r="C112" s="569"/>
      <c r="D112" s="14"/>
      <c r="E112" s="569"/>
      <c r="F112" s="14"/>
      <c r="G112" s="579"/>
      <c r="H112" s="14"/>
      <c r="I112" s="580"/>
      <c r="J112" s="14"/>
      <c r="K112" s="576"/>
      <c r="L112" s="14"/>
      <c r="M112" s="488">
        <f>SUM(M109:M111)</f>
        <v>39.183</v>
      </c>
    </row>
    <row r="113" spans="1:14">
      <c r="G113" s="40"/>
      <c r="K113" s="40" t="s">
        <v>94</v>
      </c>
      <c r="L113" s="115" t="s">
        <v>46</v>
      </c>
      <c r="M113" s="488">
        <f>M108-M112</f>
        <v>131.27699999999999</v>
      </c>
    </row>
    <row r="114" spans="1:14">
      <c r="G114" s="112"/>
      <c r="K114" s="534" t="s">
        <v>120</v>
      </c>
      <c r="L114" s="111" t="s">
        <v>46</v>
      </c>
      <c r="M114" s="40">
        <f>ROUNDUP(M113,0)</f>
        <v>132</v>
      </c>
      <c r="N114" s="536" t="str">
        <f>N103</f>
        <v>Sqm</v>
      </c>
    </row>
    <row r="115" spans="1:14">
      <c r="G115" s="112"/>
      <c r="L115" s="111"/>
    </row>
    <row r="116" spans="1:14" ht="57.75" customHeight="1">
      <c r="A116" s="485">
        <v>14</v>
      </c>
      <c r="B116" s="943" t="s">
        <v>628</v>
      </c>
      <c r="C116" s="942"/>
      <c r="D116" s="942"/>
      <c r="E116" s="942"/>
      <c r="F116" s="942"/>
      <c r="G116" s="942"/>
      <c r="H116" s="942"/>
      <c r="I116" s="942"/>
      <c r="J116" s="942"/>
      <c r="K116" s="942"/>
      <c r="L116" s="942"/>
      <c r="M116" s="942"/>
      <c r="N116" s="108" t="s">
        <v>629</v>
      </c>
    </row>
    <row r="117" spans="1:14" s="113" customFormat="1" ht="12.75" customHeight="1">
      <c r="A117" s="490"/>
      <c r="B117" s="503"/>
      <c r="C117" s="568">
        <v>1</v>
      </c>
      <c r="D117" s="14" t="s">
        <v>45</v>
      </c>
      <c r="E117" s="568">
        <v>2</v>
      </c>
      <c r="F117" s="14" t="s">
        <v>45</v>
      </c>
      <c r="G117" s="582">
        <v>15.24</v>
      </c>
      <c r="H117" s="14" t="s">
        <v>45</v>
      </c>
      <c r="I117" s="580">
        <v>1</v>
      </c>
      <c r="J117" s="14" t="s">
        <v>45</v>
      </c>
      <c r="K117" s="571">
        <v>5</v>
      </c>
      <c r="L117" s="14" t="s">
        <v>46</v>
      </c>
      <c r="M117" s="488">
        <f t="shared" ref="M117:M122" si="12">C117*E117*K117*G117*I117</f>
        <v>152.4</v>
      </c>
      <c r="N117" s="535"/>
    </row>
    <row r="118" spans="1:14" s="113" customFormat="1" ht="12.75" customHeight="1">
      <c r="A118" s="490"/>
      <c r="B118" s="563"/>
      <c r="C118" s="569">
        <v>1</v>
      </c>
      <c r="D118" s="14" t="s">
        <v>45</v>
      </c>
      <c r="E118" s="569">
        <v>2</v>
      </c>
      <c r="F118" s="14" t="s">
        <v>45</v>
      </c>
      <c r="G118" s="571">
        <v>6.7</v>
      </c>
      <c r="H118" s="14" t="s">
        <v>45</v>
      </c>
      <c r="I118" s="580">
        <v>1</v>
      </c>
      <c r="J118" s="14" t="s">
        <v>45</v>
      </c>
      <c r="K118" s="571">
        <v>5</v>
      </c>
      <c r="L118" s="14" t="s">
        <v>46</v>
      </c>
      <c r="M118" s="488">
        <f t="shared" si="12"/>
        <v>67</v>
      </c>
      <c r="N118" s="535"/>
    </row>
    <row r="119" spans="1:14" s="113" customFormat="1" ht="12.75" customHeight="1">
      <c r="A119" s="490"/>
      <c r="B119" s="563"/>
      <c r="C119" s="569">
        <v>1</v>
      </c>
      <c r="D119" s="14"/>
      <c r="E119" s="569"/>
      <c r="F119" s="14"/>
      <c r="G119" s="571"/>
      <c r="H119" s="14"/>
      <c r="I119" s="580"/>
      <c r="J119" s="14"/>
      <c r="K119" s="571"/>
      <c r="L119" s="14"/>
      <c r="M119" s="488">
        <f>SUM(M117:M118)</f>
        <v>219.4</v>
      </c>
      <c r="N119" s="535"/>
    </row>
    <row r="120" spans="1:14" s="113" customFormat="1" ht="12.75" customHeight="1">
      <c r="A120" s="490"/>
      <c r="B120" s="563"/>
      <c r="C120" s="569">
        <v>1</v>
      </c>
      <c r="D120" s="14" t="s">
        <v>45</v>
      </c>
      <c r="E120" s="569">
        <v>2</v>
      </c>
      <c r="F120" s="14" t="s">
        <v>45</v>
      </c>
      <c r="G120" s="571">
        <v>3</v>
      </c>
      <c r="H120" s="14" t="s">
        <v>45</v>
      </c>
      <c r="I120" s="580">
        <v>1</v>
      </c>
      <c r="J120" s="14" t="s">
        <v>45</v>
      </c>
      <c r="K120" s="571">
        <v>1.5</v>
      </c>
      <c r="L120" s="14" t="s">
        <v>46</v>
      </c>
      <c r="M120" s="488">
        <f t="shared" si="12"/>
        <v>9</v>
      </c>
      <c r="N120" s="535"/>
    </row>
    <row r="121" spans="1:14" s="113" customFormat="1" ht="14.25">
      <c r="A121" s="490"/>
      <c r="B121" s="563"/>
      <c r="C121" s="569">
        <v>1</v>
      </c>
      <c r="D121" s="14" t="s">
        <v>45</v>
      </c>
      <c r="E121" s="569">
        <v>1</v>
      </c>
      <c r="F121" s="14" t="s">
        <v>45</v>
      </c>
      <c r="G121" s="571">
        <v>1.2</v>
      </c>
      <c r="H121" s="14" t="s">
        <v>45</v>
      </c>
      <c r="I121" s="580">
        <v>1</v>
      </c>
      <c r="J121" s="14" t="s">
        <v>45</v>
      </c>
      <c r="K121" s="571">
        <v>1.5</v>
      </c>
      <c r="L121" s="14" t="s">
        <v>46</v>
      </c>
      <c r="M121" s="488">
        <f t="shared" si="12"/>
        <v>1.7999999999999998</v>
      </c>
      <c r="N121" s="535"/>
    </row>
    <row r="122" spans="1:14" s="113" customFormat="1" ht="14.25">
      <c r="A122" s="490"/>
      <c r="B122" s="564"/>
      <c r="C122" s="577">
        <v>1</v>
      </c>
      <c r="D122" s="14" t="s">
        <v>45</v>
      </c>
      <c r="E122" s="569">
        <v>9</v>
      </c>
      <c r="F122" s="14" t="s">
        <v>45</v>
      </c>
      <c r="G122" s="571">
        <v>1.2</v>
      </c>
      <c r="H122" s="14" t="s">
        <v>45</v>
      </c>
      <c r="I122" s="580">
        <v>1</v>
      </c>
      <c r="J122" s="14" t="s">
        <v>45</v>
      </c>
      <c r="K122" s="571">
        <v>1.5</v>
      </c>
      <c r="L122" s="14" t="s">
        <v>46</v>
      </c>
      <c r="M122" s="488">
        <f t="shared" si="12"/>
        <v>16.2</v>
      </c>
      <c r="N122" s="535"/>
    </row>
    <row r="123" spans="1:14" s="113" customFormat="1" ht="14.25">
      <c r="A123" s="490"/>
      <c r="B123" s="564"/>
      <c r="C123" s="577"/>
      <c r="D123" s="14"/>
      <c r="E123" s="578"/>
      <c r="F123" s="14"/>
      <c r="G123" s="579"/>
      <c r="H123" s="14"/>
      <c r="I123" s="580"/>
      <c r="J123" s="14"/>
      <c r="K123" s="576"/>
      <c r="L123" s="14"/>
      <c r="M123" s="488">
        <f>SUM(M120:M122)</f>
        <v>27</v>
      </c>
      <c r="N123" s="535"/>
    </row>
    <row r="124" spans="1:14">
      <c r="B124" s="42"/>
      <c r="G124" s="40"/>
      <c r="K124" s="40" t="s">
        <v>94</v>
      </c>
      <c r="L124" s="115" t="s">
        <v>46</v>
      </c>
      <c r="M124" s="488">
        <f>M119-M123</f>
        <v>192.4</v>
      </c>
    </row>
    <row r="125" spans="1:14">
      <c r="G125" s="112"/>
      <c r="K125" s="534" t="s">
        <v>120</v>
      </c>
      <c r="L125" s="111" t="s">
        <v>46</v>
      </c>
      <c r="M125" s="40">
        <f>ROUNDUP(M124,0)</f>
        <v>193</v>
      </c>
      <c r="N125" s="536" t="str">
        <f>N116</f>
        <v>SqM</v>
      </c>
    </row>
    <row r="126" spans="1:14">
      <c r="G126" s="40"/>
    </row>
    <row r="127" spans="1:14" ht="39" customHeight="1">
      <c r="A127" s="485">
        <v>15</v>
      </c>
      <c r="B127" s="942" t="s">
        <v>630</v>
      </c>
      <c r="C127" s="942"/>
      <c r="D127" s="942"/>
      <c r="E127" s="942"/>
      <c r="F127" s="942"/>
      <c r="G127" s="942"/>
      <c r="H127" s="942"/>
      <c r="I127" s="942"/>
      <c r="J127" s="942"/>
      <c r="K127" s="942"/>
      <c r="L127" s="942"/>
      <c r="M127" s="942"/>
      <c r="N127" s="536" t="s">
        <v>629</v>
      </c>
    </row>
    <row r="128" spans="1:14" s="113" customFormat="1" ht="12.75" customHeight="1">
      <c r="A128" s="490"/>
      <c r="B128" s="566" t="s">
        <v>678</v>
      </c>
      <c r="C128" s="568">
        <v>1</v>
      </c>
      <c r="D128" s="14" t="s">
        <v>45</v>
      </c>
      <c r="E128" s="568">
        <v>1</v>
      </c>
      <c r="F128" s="14" t="s">
        <v>45</v>
      </c>
      <c r="G128" s="582">
        <f>M114</f>
        <v>132</v>
      </c>
      <c r="H128" s="14" t="s">
        <v>45</v>
      </c>
      <c r="I128" s="582">
        <v>1</v>
      </c>
      <c r="J128" s="14" t="s">
        <v>45</v>
      </c>
      <c r="K128" s="571">
        <v>1</v>
      </c>
      <c r="L128" s="14" t="s">
        <v>46</v>
      </c>
      <c r="M128" s="488">
        <f t="shared" ref="M128" si="13">C128*E128*K128*G128*I128</f>
        <v>132</v>
      </c>
      <c r="N128" s="535"/>
    </row>
    <row r="129" spans="1:14" s="113" customFormat="1" ht="14.25">
      <c r="A129" s="490"/>
      <c r="B129" s="564"/>
      <c r="C129" s="565"/>
      <c r="D129" s="483"/>
      <c r="E129" s="497"/>
      <c r="F129" s="483"/>
      <c r="G129" s="498"/>
      <c r="H129" s="483"/>
      <c r="I129" s="499"/>
      <c r="J129" s="483"/>
      <c r="K129" s="500"/>
      <c r="L129" s="483"/>
      <c r="M129" s="501"/>
      <c r="N129" s="535"/>
    </row>
    <row r="130" spans="1:14">
      <c r="G130" s="112"/>
      <c r="K130" s="40" t="s">
        <v>94</v>
      </c>
      <c r="L130" s="115" t="s">
        <v>46</v>
      </c>
      <c r="M130" s="40">
        <f>M128</f>
        <v>132</v>
      </c>
    </row>
    <row r="131" spans="1:14">
      <c r="K131" s="534" t="s">
        <v>120</v>
      </c>
      <c r="L131" s="111" t="s">
        <v>46</v>
      </c>
      <c r="M131" s="40">
        <f>M130</f>
        <v>132</v>
      </c>
      <c r="N131" s="536" t="str">
        <f>N127</f>
        <v>SqM</v>
      </c>
    </row>
    <row r="132" spans="1:14">
      <c r="L132" s="111"/>
    </row>
    <row r="133" spans="1:14" ht="45" customHeight="1">
      <c r="A133" s="485">
        <v>16</v>
      </c>
      <c r="B133" s="939" t="s">
        <v>631</v>
      </c>
      <c r="C133" s="940"/>
      <c r="D133" s="940"/>
      <c r="E133" s="940"/>
      <c r="F133" s="940"/>
      <c r="G133" s="940"/>
      <c r="H133" s="940"/>
      <c r="I133" s="940"/>
      <c r="J133" s="940"/>
      <c r="K133" s="940"/>
      <c r="L133" s="941"/>
      <c r="M133" s="941"/>
      <c r="N133" s="536" t="s">
        <v>634</v>
      </c>
    </row>
    <row r="134" spans="1:14" s="113" customFormat="1" ht="12.75" customHeight="1">
      <c r="A134" s="490"/>
      <c r="B134" s="566" t="s">
        <v>632</v>
      </c>
      <c r="C134" s="568"/>
      <c r="D134" s="14"/>
      <c r="E134" s="568"/>
      <c r="F134" s="14"/>
      <c r="G134" s="582"/>
      <c r="H134" s="14"/>
      <c r="I134" s="582"/>
      <c r="J134" s="14"/>
      <c r="K134" s="571"/>
      <c r="L134" s="14"/>
      <c r="M134" s="488"/>
      <c r="N134" s="535"/>
    </row>
    <row r="135" spans="1:14" s="113" customFormat="1" ht="12.75" customHeight="1">
      <c r="A135" s="490"/>
      <c r="B135" s="566" t="s">
        <v>679</v>
      </c>
      <c r="C135" s="568">
        <v>1</v>
      </c>
      <c r="D135" s="14" t="s">
        <v>45</v>
      </c>
      <c r="E135" s="568">
        <v>1</v>
      </c>
      <c r="F135" s="14" t="s">
        <v>45</v>
      </c>
      <c r="G135" s="582">
        <f>M125</f>
        <v>193</v>
      </c>
      <c r="H135" s="14" t="s">
        <v>45</v>
      </c>
      <c r="I135" s="582">
        <v>1</v>
      </c>
      <c r="J135" s="14" t="s">
        <v>45</v>
      </c>
      <c r="K135" s="571">
        <v>1</v>
      </c>
      <c r="L135" s="14" t="s">
        <v>46</v>
      </c>
      <c r="M135" s="488">
        <f t="shared" ref="M135" si="14">C135*E135*K135*G135*I135</f>
        <v>193</v>
      </c>
      <c r="N135" s="535"/>
    </row>
    <row r="136" spans="1:14" ht="10.5" customHeight="1">
      <c r="G136" s="40"/>
      <c r="K136" s="40"/>
      <c r="L136" s="111"/>
    </row>
    <row r="137" spans="1:14">
      <c r="I137" s="494" t="s">
        <v>122</v>
      </c>
      <c r="M137" s="40">
        <f>M135</f>
        <v>193</v>
      </c>
    </row>
    <row r="138" spans="1:14">
      <c r="I138" s="494" t="s">
        <v>123</v>
      </c>
      <c r="M138" s="40">
        <f>ROUNDUP(M137,1)</f>
        <v>193</v>
      </c>
      <c r="N138" s="536" t="str">
        <f>N133</f>
        <v>SQM</v>
      </c>
    </row>
    <row r="140" spans="1:14" ht="58.5" customHeight="1">
      <c r="A140" s="724">
        <v>17</v>
      </c>
      <c r="B140" s="934" t="s">
        <v>633</v>
      </c>
      <c r="C140" s="935"/>
      <c r="D140" s="935"/>
      <c r="E140" s="935"/>
      <c r="F140" s="935"/>
      <c r="G140" s="935"/>
      <c r="H140" s="935"/>
      <c r="I140" s="935"/>
      <c r="J140" s="935"/>
      <c r="K140" s="935"/>
      <c r="L140" s="936"/>
      <c r="M140" s="936"/>
      <c r="N140" s="725" t="s">
        <v>616</v>
      </c>
    </row>
    <row r="141" spans="1:14" ht="9.75" customHeight="1">
      <c r="G141" s="40"/>
      <c r="K141" s="40"/>
      <c r="L141" s="111"/>
    </row>
    <row r="142" spans="1:14" ht="13.5" customHeight="1">
      <c r="B142" s="583" t="s">
        <v>635</v>
      </c>
      <c r="C142" s="568">
        <v>0</v>
      </c>
      <c r="D142" s="14" t="s">
        <v>45</v>
      </c>
      <c r="E142" s="569">
        <v>1</v>
      </c>
      <c r="F142" s="14" t="s">
        <v>45</v>
      </c>
      <c r="G142" s="571">
        <v>15.6</v>
      </c>
      <c r="H142" s="14" t="s">
        <v>45</v>
      </c>
      <c r="I142" s="571">
        <v>6.8</v>
      </c>
      <c r="J142" s="14" t="s">
        <v>45</v>
      </c>
      <c r="K142" s="571">
        <v>1</v>
      </c>
      <c r="L142" s="14" t="s">
        <v>46</v>
      </c>
      <c r="M142" s="488">
        <f t="shared" ref="M142:M143" si="15">C142*E142*K142*G142*I142</f>
        <v>0</v>
      </c>
      <c r="N142" s="535" t="s">
        <v>620</v>
      </c>
    </row>
    <row r="143" spans="1:14" ht="13.5" customHeight="1">
      <c r="B143" s="584" t="s">
        <v>636</v>
      </c>
      <c r="C143" s="568">
        <v>0</v>
      </c>
      <c r="D143" s="14" t="s">
        <v>45</v>
      </c>
      <c r="E143" s="569">
        <v>1</v>
      </c>
      <c r="F143" s="14" t="s">
        <v>45</v>
      </c>
      <c r="G143" s="571">
        <v>106.08</v>
      </c>
      <c r="H143" s="14" t="s">
        <v>45</v>
      </c>
      <c r="I143" s="571">
        <v>18</v>
      </c>
      <c r="J143" s="14" t="s">
        <v>45</v>
      </c>
      <c r="K143" s="571">
        <v>1</v>
      </c>
      <c r="L143" s="14" t="s">
        <v>46</v>
      </c>
      <c r="M143" s="488">
        <f t="shared" si="15"/>
        <v>0</v>
      </c>
      <c r="N143" s="535"/>
    </row>
    <row r="144" spans="1:14" ht="13.5" customHeight="1">
      <c r="B144" s="535"/>
      <c r="C144" s="14"/>
      <c r="D144" s="14"/>
      <c r="E144" s="14"/>
      <c r="F144" s="14"/>
      <c r="G144" s="488"/>
      <c r="H144" s="14"/>
      <c r="I144" s="495"/>
      <c r="J144" s="14"/>
      <c r="K144" s="488"/>
      <c r="L144" s="507"/>
      <c r="M144" s="488"/>
      <c r="N144" s="535"/>
    </row>
    <row r="145" spans="1:16">
      <c r="I145" s="494" t="s">
        <v>122</v>
      </c>
      <c r="M145" s="40">
        <f>SUM(M143:M144)</f>
        <v>0</v>
      </c>
    </row>
    <row r="146" spans="1:16">
      <c r="I146" s="494" t="s">
        <v>123</v>
      </c>
      <c r="M146" s="40">
        <f>ROUNDUP(M145,0)/1000</f>
        <v>0</v>
      </c>
      <c r="N146" s="536" t="str">
        <f>N140</f>
        <v>M.T</v>
      </c>
    </row>
    <row r="148" spans="1:16" ht="105" customHeight="1">
      <c r="A148" s="724">
        <v>18</v>
      </c>
      <c r="B148" s="944" t="s">
        <v>637</v>
      </c>
      <c r="C148" s="944"/>
      <c r="D148" s="944"/>
      <c r="E148" s="944"/>
      <c r="F148" s="944"/>
      <c r="G148" s="944"/>
      <c r="H148" s="944"/>
      <c r="I148" s="944"/>
      <c r="J148" s="944"/>
      <c r="K148" s="944"/>
      <c r="L148" s="936"/>
      <c r="M148" s="936"/>
      <c r="N148" s="108" t="s">
        <v>634</v>
      </c>
    </row>
    <row r="149" spans="1:16" s="113" customFormat="1" ht="13.5" customHeight="1">
      <c r="A149" s="490"/>
      <c r="B149" s="585" t="s">
        <v>638</v>
      </c>
      <c r="C149" s="568">
        <v>0</v>
      </c>
      <c r="D149" s="14" t="s">
        <v>45</v>
      </c>
      <c r="E149" s="569">
        <v>1</v>
      </c>
      <c r="F149" s="14" t="s">
        <v>45</v>
      </c>
      <c r="G149" s="571">
        <v>15.8</v>
      </c>
      <c r="H149" s="14" t="s">
        <v>45</v>
      </c>
      <c r="I149" s="571">
        <v>4.5</v>
      </c>
      <c r="J149" s="14" t="s">
        <v>45</v>
      </c>
      <c r="K149" s="571">
        <v>1</v>
      </c>
      <c r="L149" s="14" t="s">
        <v>46</v>
      </c>
      <c r="M149" s="488">
        <f t="shared" ref="M149:M150" si="16">C149*E149*K149*G149*I149</f>
        <v>0</v>
      </c>
      <c r="N149" s="535"/>
    </row>
    <row r="150" spans="1:16" s="113" customFormat="1" ht="13.5" customHeight="1">
      <c r="A150" s="490"/>
      <c r="B150" s="585" t="s">
        <v>639</v>
      </c>
      <c r="C150" s="568">
        <v>0</v>
      </c>
      <c r="D150" s="14" t="s">
        <v>45</v>
      </c>
      <c r="E150" s="569">
        <v>1</v>
      </c>
      <c r="F150" s="14" t="s">
        <v>45</v>
      </c>
      <c r="G150" s="571">
        <v>15.8</v>
      </c>
      <c r="H150" s="14" t="s">
        <v>45</v>
      </c>
      <c r="I150" s="571">
        <v>4.5</v>
      </c>
      <c r="J150" s="14" t="s">
        <v>45</v>
      </c>
      <c r="K150" s="571">
        <v>1</v>
      </c>
      <c r="L150" s="14" t="s">
        <v>46</v>
      </c>
      <c r="M150" s="488">
        <f t="shared" si="16"/>
        <v>0</v>
      </c>
      <c r="N150" s="535"/>
    </row>
    <row r="151" spans="1:16" s="113" customFormat="1" ht="12.75" customHeight="1">
      <c r="A151" s="490"/>
      <c r="B151" s="535"/>
      <c r="C151" s="535"/>
      <c r="D151" s="535"/>
      <c r="E151" s="535"/>
      <c r="F151" s="535"/>
      <c r="G151" s="535"/>
      <c r="H151" s="535"/>
      <c r="I151" s="495"/>
      <c r="J151" s="535"/>
      <c r="K151" s="535"/>
      <c r="L151" s="14"/>
      <c r="M151" s="488"/>
      <c r="N151" s="535"/>
    </row>
    <row r="152" spans="1:16">
      <c r="G152" s="40"/>
      <c r="K152" s="40" t="s">
        <v>94</v>
      </c>
      <c r="L152" s="111"/>
      <c r="M152" s="40">
        <f>SUM(M149:M151)</f>
        <v>0</v>
      </c>
      <c r="N152" s="108"/>
    </row>
    <row r="153" spans="1:16">
      <c r="G153" s="112"/>
      <c r="K153" s="534" t="s">
        <v>120</v>
      </c>
      <c r="L153" s="111" t="s">
        <v>46</v>
      </c>
      <c r="M153" s="40">
        <f>ROUNDUP(M152,0)</f>
        <v>0</v>
      </c>
      <c r="N153" s="108" t="str">
        <f>N148</f>
        <v>SQM</v>
      </c>
    </row>
    <row r="154" spans="1:16">
      <c r="N154" s="108"/>
    </row>
    <row r="155" spans="1:16" ht="131.25" customHeight="1">
      <c r="A155" s="724">
        <v>19</v>
      </c>
      <c r="B155" s="934" t="s">
        <v>640</v>
      </c>
      <c r="C155" s="935"/>
      <c r="D155" s="935"/>
      <c r="E155" s="935"/>
      <c r="F155" s="935"/>
      <c r="G155" s="935"/>
      <c r="H155" s="935"/>
      <c r="I155" s="935"/>
      <c r="J155" s="935"/>
      <c r="K155" s="935"/>
      <c r="L155" s="936"/>
      <c r="M155" s="936"/>
      <c r="N155" s="108" t="s">
        <v>684</v>
      </c>
      <c r="P155" s="484"/>
    </row>
    <row r="156" spans="1:16" s="510" customFormat="1" ht="13.5" customHeight="1">
      <c r="A156" s="14"/>
      <c r="B156" s="508" t="s">
        <v>641</v>
      </c>
      <c r="C156" s="511">
        <v>0</v>
      </c>
      <c r="D156" s="554" t="s">
        <v>45</v>
      </c>
      <c r="E156" s="512">
        <v>1</v>
      </c>
      <c r="F156" s="554" t="s">
        <v>45</v>
      </c>
      <c r="G156" s="513">
        <v>15.8</v>
      </c>
      <c r="H156" s="554" t="s">
        <v>45</v>
      </c>
      <c r="I156" s="513">
        <v>0.45</v>
      </c>
      <c r="J156" s="554" t="s">
        <v>45</v>
      </c>
      <c r="K156" s="513">
        <v>1</v>
      </c>
      <c r="L156" s="554" t="s">
        <v>46</v>
      </c>
      <c r="M156" s="555">
        <f>C156*E156*K156*G156*I156</f>
        <v>0</v>
      </c>
      <c r="N156" s="509"/>
    </row>
    <row r="157" spans="1:16" ht="9.75" customHeight="1">
      <c r="C157" s="537"/>
      <c r="D157" s="537"/>
      <c r="E157" s="537"/>
      <c r="F157" s="537"/>
      <c r="G157" s="537"/>
      <c r="H157" s="537"/>
      <c r="J157" s="537"/>
      <c r="K157" s="537"/>
      <c r="N157" s="108"/>
    </row>
    <row r="158" spans="1:16">
      <c r="G158" s="40"/>
      <c r="K158" s="40" t="s">
        <v>94</v>
      </c>
      <c r="L158" s="111"/>
      <c r="M158" s="40">
        <f>SUM(M156:M157)</f>
        <v>0</v>
      </c>
      <c r="N158" s="108"/>
    </row>
    <row r="159" spans="1:16">
      <c r="G159" s="112"/>
      <c r="K159" s="534" t="s">
        <v>120</v>
      </c>
      <c r="L159" s="111" t="s">
        <v>46</v>
      </c>
      <c r="M159" s="40">
        <f>ROUND(M158,1)</f>
        <v>0</v>
      </c>
      <c r="N159" s="108" t="s">
        <v>684</v>
      </c>
    </row>
    <row r="160" spans="1:16">
      <c r="N160" s="108"/>
    </row>
    <row r="161" spans="1:14" ht="83.25" customHeight="1">
      <c r="A161" s="724">
        <v>20</v>
      </c>
      <c r="B161" s="934" t="s">
        <v>642</v>
      </c>
      <c r="C161" s="935"/>
      <c r="D161" s="935"/>
      <c r="E161" s="935"/>
      <c r="F161" s="935"/>
      <c r="G161" s="935"/>
      <c r="H161" s="935"/>
      <c r="I161" s="935"/>
      <c r="J161" s="935"/>
      <c r="K161" s="935"/>
      <c r="L161" s="936"/>
      <c r="M161" s="936"/>
      <c r="N161" s="108" t="s">
        <v>629</v>
      </c>
    </row>
    <row r="162" spans="1:14" s="510" customFormat="1" ht="13.5" customHeight="1">
      <c r="A162" s="14"/>
      <c r="B162" s="586" t="s">
        <v>643</v>
      </c>
      <c r="C162" s="586">
        <v>1</v>
      </c>
      <c r="D162" s="14" t="s">
        <v>45</v>
      </c>
      <c r="E162" s="587">
        <v>2</v>
      </c>
      <c r="F162" s="14" t="s">
        <v>45</v>
      </c>
      <c r="G162" s="588">
        <v>3</v>
      </c>
      <c r="H162" s="14" t="s">
        <v>45</v>
      </c>
      <c r="I162" s="588">
        <v>2.4</v>
      </c>
      <c r="J162" s="14" t="s">
        <v>45</v>
      </c>
      <c r="K162" s="588">
        <v>1</v>
      </c>
      <c r="L162" s="14" t="s">
        <v>46</v>
      </c>
      <c r="M162" s="488">
        <f>C162*E162*K162*G162*I162</f>
        <v>14.399999999999999</v>
      </c>
      <c r="N162" s="509"/>
    </row>
    <row r="163" spans="1:14" ht="9.75" customHeight="1">
      <c r="C163" s="537"/>
      <c r="D163" s="537"/>
      <c r="E163" s="537"/>
      <c r="F163" s="537"/>
      <c r="G163" s="537"/>
      <c r="H163" s="537"/>
      <c r="J163" s="537"/>
      <c r="K163" s="537"/>
      <c r="N163" s="108"/>
    </row>
    <row r="164" spans="1:14">
      <c r="G164" s="40"/>
      <c r="K164" s="40" t="s">
        <v>94</v>
      </c>
      <c r="L164" s="111"/>
      <c r="M164" s="40">
        <f>SUM(M162:M163)</f>
        <v>14.399999999999999</v>
      </c>
      <c r="N164" s="108"/>
    </row>
    <row r="165" spans="1:14">
      <c r="G165" s="112"/>
      <c r="K165" s="534" t="s">
        <v>120</v>
      </c>
      <c r="L165" s="111" t="s">
        <v>46</v>
      </c>
      <c r="M165" s="40">
        <f>M164</f>
        <v>14.399999999999999</v>
      </c>
      <c r="N165" s="108" t="str">
        <f>N161</f>
        <v>SqM</v>
      </c>
    </row>
    <row r="166" spans="1:14">
      <c r="G166" s="112"/>
      <c r="L166" s="111"/>
      <c r="N166" s="108"/>
    </row>
    <row r="167" spans="1:14" ht="36.75" customHeight="1">
      <c r="A167" s="485">
        <v>21</v>
      </c>
      <c r="B167" s="934" t="str">
        <f>[4]Measurement!$B$105</f>
        <v>Providing and fixing solid core flush door shutter in single leaf 32 mm thick decorative type of exterior grade as per detailed drawings approved face veneers 3 mm thick on both faces or as directed, all necessary beads, mouldings and lipping, wrought iron hold fasts, chromium plated fixtures and fastenings, with brass mortise lock, chromium plated handles on both sides, and finishing with French Polish etc. complete.</v>
      </c>
      <c r="C167" s="935"/>
      <c r="D167" s="935"/>
      <c r="E167" s="935"/>
      <c r="F167" s="935"/>
      <c r="G167" s="935"/>
      <c r="H167" s="935"/>
      <c r="I167" s="935"/>
      <c r="J167" s="935"/>
      <c r="K167" s="935"/>
      <c r="L167" s="936"/>
      <c r="M167" s="936"/>
      <c r="N167" s="108" t="s">
        <v>634</v>
      </c>
    </row>
    <row r="168" spans="1:14" ht="14.25">
      <c r="B168" s="508"/>
      <c r="C168" s="586">
        <v>0</v>
      </c>
      <c r="D168" s="14" t="s">
        <v>45</v>
      </c>
      <c r="E168" s="587">
        <v>2</v>
      </c>
      <c r="F168" s="14" t="s">
        <v>45</v>
      </c>
      <c r="G168" s="588">
        <v>1.5</v>
      </c>
      <c r="H168" s="14" t="s">
        <v>45</v>
      </c>
      <c r="I168" s="588">
        <v>2.1</v>
      </c>
      <c r="J168" s="14" t="s">
        <v>45</v>
      </c>
      <c r="K168" s="588">
        <v>1</v>
      </c>
      <c r="L168" s="14" t="s">
        <v>46</v>
      </c>
      <c r="M168" s="488">
        <f>C168*E168*K168*G168*I168</f>
        <v>0</v>
      </c>
      <c r="N168" s="108"/>
    </row>
    <row r="169" spans="1:14">
      <c r="C169" s="537"/>
      <c r="D169" s="537"/>
      <c r="E169" s="537"/>
      <c r="F169" s="537"/>
      <c r="G169" s="537"/>
      <c r="H169" s="537"/>
      <c r="J169" s="537"/>
      <c r="K169" s="537"/>
      <c r="N169" s="108"/>
    </row>
    <row r="170" spans="1:14">
      <c r="G170" s="40"/>
      <c r="K170" s="40" t="s">
        <v>94</v>
      </c>
      <c r="L170" s="111"/>
      <c r="M170" s="40">
        <f>SUM(M168:M169)</f>
        <v>0</v>
      </c>
      <c r="N170" s="108"/>
    </row>
    <row r="171" spans="1:14">
      <c r="G171" s="112"/>
      <c r="K171" s="534" t="s">
        <v>120</v>
      </c>
      <c r="L171" s="111" t="s">
        <v>46</v>
      </c>
      <c r="M171" s="40">
        <f>M170</f>
        <v>0</v>
      </c>
      <c r="N171" s="108" t="s">
        <v>634</v>
      </c>
    </row>
    <row r="172" spans="1:14" ht="33" customHeight="1">
      <c r="A172" s="485">
        <v>22</v>
      </c>
      <c r="B172" s="939" t="s">
        <v>680</v>
      </c>
      <c r="C172" s="940"/>
      <c r="D172" s="940"/>
      <c r="E172" s="940"/>
      <c r="F172" s="940"/>
      <c r="G172" s="940"/>
      <c r="H172" s="940"/>
      <c r="I172" s="940"/>
      <c r="J172" s="940"/>
      <c r="K172" s="940"/>
      <c r="L172" s="941"/>
      <c r="M172" s="941"/>
      <c r="N172" s="108"/>
    </row>
    <row r="173" spans="1:14">
      <c r="C173" s="586">
        <v>1</v>
      </c>
      <c r="D173" s="14" t="s">
        <v>45</v>
      </c>
      <c r="E173" s="587">
        <v>1</v>
      </c>
      <c r="F173" s="14" t="s">
        <v>45</v>
      </c>
      <c r="G173" s="588">
        <v>14.9</v>
      </c>
      <c r="H173" s="14" t="s">
        <v>45</v>
      </c>
      <c r="I173" s="588">
        <v>6.7</v>
      </c>
      <c r="J173" s="14" t="s">
        <v>45</v>
      </c>
      <c r="K173" s="588">
        <v>1</v>
      </c>
      <c r="L173" s="14" t="s">
        <v>46</v>
      </c>
      <c r="M173" s="488">
        <f>C173*E173*K173*G173*I173</f>
        <v>99.83</v>
      </c>
      <c r="N173" s="108"/>
    </row>
    <row r="174" spans="1:14">
      <c r="C174" s="586">
        <v>1</v>
      </c>
      <c r="D174" s="14" t="s">
        <v>45</v>
      </c>
      <c r="E174" s="587">
        <v>1</v>
      </c>
      <c r="F174" s="14" t="s">
        <v>45</v>
      </c>
      <c r="G174" s="588">
        <v>4.5</v>
      </c>
      <c r="H174" s="14" t="s">
        <v>45</v>
      </c>
      <c r="I174" s="588">
        <v>3.5</v>
      </c>
      <c r="J174" s="14" t="s">
        <v>45</v>
      </c>
      <c r="K174" s="588">
        <v>2</v>
      </c>
      <c r="L174" s="14" t="s">
        <v>46</v>
      </c>
      <c r="M174" s="488">
        <f>C174*E174*K174*G174*I174</f>
        <v>31.5</v>
      </c>
      <c r="N174" s="108"/>
    </row>
    <row r="175" spans="1:14">
      <c r="G175" s="40"/>
      <c r="K175" s="40" t="s">
        <v>94</v>
      </c>
      <c r="L175" s="111"/>
      <c r="M175" s="40">
        <f>SUM(M173:M174)</f>
        <v>131.32999999999998</v>
      </c>
      <c r="N175" s="108"/>
    </row>
    <row r="176" spans="1:14">
      <c r="G176" s="112"/>
      <c r="K176" s="534" t="s">
        <v>120</v>
      </c>
      <c r="L176" s="111" t="s">
        <v>46</v>
      </c>
      <c r="M176" s="40">
        <f>M175</f>
        <v>131.32999999999998</v>
      </c>
      <c r="N176" s="108" t="s">
        <v>634</v>
      </c>
    </row>
    <row r="177" spans="1:14">
      <c r="G177" s="112"/>
      <c r="L177" s="111"/>
      <c r="N177" s="108"/>
    </row>
    <row r="178" spans="1:14" s="539" customFormat="1" ht="37.5" customHeight="1">
      <c r="A178" s="722">
        <v>23</v>
      </c>
      <c r="B178" s="934" t="s">
        <v>681</v>
      </c>
      <c r="C178" s="935"/>
      <c r="D178" s="935"/>
      <c r="E178" s="935"/>
      <c r="F178" s="935"/>
      <c r="G178" s="935"/>
      <c r="H178" s="935"/>
      <c r="I178" s="935"/>
      <c r="J178" s="935"/>
      <c r="K178" s="935"/>
      <c r="L178" s="936"/>
      <c r="M178" s="936"/>
      <c r="N178" s="567" t="s">
        <v>634</v>
      </c>
    </row>
    <row r="179" spans="1:14" s="539" customFormat="1" ht="12.75">
      <c r="A179" s="538"/>
      <c r="B179" s="540"/>
      <c r="C179" s="586">
        <v>0</v>
      </c>
      <c r="D179" s="14" t="s">
        <v>45</v>
      </c>
      <c r="E179" s="587">
        <v>9</v>
      </c>
      <c r="F179" s="14" t="s">
        <v>45</v>
      </c>
      <c r="G179" s="588">
        <v>1.2</v>
      </c>
      <c r="H179" s="14" t="s">
        <v>45</v>
      </c>
      <c r="I179" s="588">
        <v>1</v>
      </c>
      <c r="J179" s="14" t="s">
        <v>45</v>
      </c>
      <c r="K179" s="588">
        <v>1.2</v>
      </c>
      <c r="L179" s="14" t="s">
        <v>46</v>
      </c>
      <c r="M179" s="488">
        <f>C179*E179*K179*G179*I179</f>
        <v>0</v>
      </c>
      <c r="N179" s="108"/>
    </row>
    <row r="180" spans="1:14" s="539" customFormat="1" ht="12.75">
      <c r="A180" s="538"/>
      <c r="B180" s="541"/>
      <c r="C180" s="511"/>
      <c r="D180" s="554"/>
      <c r="E180" s="512"/>
      <c r="F180" s="554"/>
      <c r="G180" s="513"/>
      <c r="H180" s="554"/>
      <c r="I180" s="513"/>
      <c r="J180" s="554"/>
      <c r="K180" s="513"/>
      <c r="L180" s="554"/>
      <c r="M180" s="555"/>
      <c r="N180" s="108"/>
    </row>
    <row r="181" spans="1:14">
      <c r="G181" s="40"/>
      <c r="K181" s="40" t="s">
        <v>94</v>
      </c>
      <c r="L181" s="111"/>
      <c r="M181" s="40">
        <f>SUM(M179:M180)</f>
        <v>0</v>
      </c>
      <c r="N181" s="108"/>
    </row>
    <row r="182" spans="1:14">
      <c r="G182" s="112"/>
      <c r="K182" s="534" t="s">
        <v>120</v>
      </c>
      <c r="L182" s="111" t="s">
        <v>46</v>
      </c>
      <c r="M182" s="40">
        <f>M181</f>
        <v>0</v>
      </c>
      <c r="N182" s="108" t="s">
        <v>634</v>
      </c>
    </row>
    <row r="186" spans="1:14">
      <c r="B186" s="108"/>
      <c r="C186" s="931"/>
      <c r="D186" s="931"/>
      <c r="E186" s="931"/>
      <c r="F186" s="931"/>
      <c r="G186" s="931"/>
      <c r="K186" s="931"/>
      <c r="L186" s="931"/>
      <c r="M186" s="931"/>
      <c r="N186" s="931"/>
    </row>
    <row r="187" spans="1:14">
      <c r="B187" s="108"/>
      <c r="C187" s="931"/>
      <c r="D187" s="931"/>
      <c r="E187" s="931"/>
      <c r="F187" s="931"/>
      <c r="G187" s="931"/>
      <c r="K187" s="931"/>
      <c r="L187" s="931"/>
      <c r="M187" s="931"/>
      <c r="N187" s="931"/>
    </row>
  </sheetData>
  <mergeCells count="34">
    <mergeCell ref="C187:G187"/>
    <mergeCell ref="K187:N187"/>
    <mergeCell ref="K7:M7"/>
    <mergeCell ref="B20:M20"/>
    <mergeCell ref="B61:M61"/>
    <mergeCell ref="B133:M133"/>
    <mergeCell ref="B127:M127"/>
    <mergeCell ref="B103:M103"/>
    <mergeCell ref="B116:M116"/>
    <mergeCell ref="B89:M89"/>
    <mergeCell ref="B148:M148"/>
    <mergeCell ref="B8:K8"/>
    <mergeCell ref="B28:M28"/>
    <mergeCell ref="B161:M161"/>
    <mergeCell ref="B155:M155"/>
    <mergeCell ref="B70:M70"/>
    <mergeCell ref="C186:G186"/>
    <mergeCell ref="K186:N186"/>
    <mergeCell ref="B47:M47"/>
    <mergeCell ref="B140:M140"/>
    <mergeCell ref="B37:M37"/>
    <mergeCell ref="B42:M42"/>
    <mergeCell ref="B96:M96"/>
    <mergeCell ref="B167:M167"/>
    <mergeCell ref="B172:M172"/>
    <mergeCell ref="B178:M178"/>
    <mergeCell ref="B76:M76"/>
    <mergeCell ref="B54:M54"/>
    <mergeCell ref="B1:N1"/>
    <mergeCell ref="B2:N2"/>
    <mergeCell ref="B6:N6"/>
    <mergeCell ref="C10:F10"/>
    <mergeCell ref="B12:M12"/>
    <mergeCell ref="B4:N4"/>
  </mergeCells>
  <phoneticPr fontId="9" type="noConversion"/>
  <pageMargins left="0.78" right="0.25" top="0.5" bottom="0.5" header="0.5" footer="0.5"/>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U105"/>
  <sheetViews>
    <sheetView topLeftCell="A95" workbookViewId="0">
      <selection sqref="A1:N1"/>
    </sheetView>
  </sheetViews>
  <sheetFormatPr defaultColWidth="2.42578125" defaultRowHeight="12.75"/>
  <cols>
    <col min="1" max="1" width="6" style="241" customWidth="1"/>
    <col min="2" max="2" width="10.5703125" style="241" customWidth="1"/>
    <col min="3" max="3" width="67.7109375" style="284" customWidth="1"/>
    <col min="4" max="4" width="10.7109375" style="241" customWidth="1"/>
    <col min="5" max="5" width="19.28515625" style="270" customWidth="1"/>
    <col min="6" max="6" width="8.28515625" style="271" customWidth="1"/>
    <col min="7" max="7" width="16" style="241" customWidth="1"/>
    <col min="8" max="8" width="29.140625" style="240" customWidth="1"/>
    <col min="9" max="9" width="17.42578125" style="240" customWidth="1"/>
    <col min="10" max="252" width="9.140625" style="240" customWidth="1"/>
    <col min="253" max="253" width="8.42578125" style="240" customWidth="1"/>
    <col min="254" max="254" width="43.42578125" style="240" customWidth="1"/>
    <col min="255" max="16384" width="2.42578125" style="240"/>
  </cols>
  <sheetData>
    <row r="1" spans="1:255" ht="12.75" customHeight="1">
      <c r="A1" s="948" t="s">
        <v>47</v>
      </c>
      <c r="B1" s="948"/>
      <c r="C1" s="948"/>
      <c r="D1" s="948"/>
      <c r="E1" s="948"/>
      <c r="F1" s="948"/>
      <c r="G1" s="948"/>
    </row>
    <row r="2" spans="1:255" ht="12" customHeight="1">
      <c r="A2" s="949" t="s">
        <v>450</v>
      </c>
      <c r="B2" s="949"/>
      <c r="C2" s="949"/>
      <c r="D2" s="949"/>
      <c r="E2" s="949"/>
      <c r="F2" s="949"/>
      <c r="G2" s="949"/>
    </row>
    <row r="3" spans="1:255" ht="12.75" customHeight="1">
      <c r="A3" s="949" t="s">
        <v>40</v>
      </c>
      <c r="B3" s="949"/>
      <c r="C3" s="949"/>
      <c r="D3" s="949"/>
      <c r="E3" s="949"/>
      <c r="F3" s="949"/>
      <c r="G3" s="949"/>
    </row>
    <row r="4" spans="1:255" ht="24" customHeight="1">
      <c r="C4" s="282"/>
      <c r="E4" s="242"/>
      <c r="F4" s="241"/>
    </row>
    <row r="5" spans="1:255" ht="53.25" customHeight="1">
      <c r="A5" s="950" t="str">
        <f>'[3]She. B Abstract.'!B5</f>
        <v>Name of work:-   Construction of  Concrete Road with Appron Gutter works in Warehouse Complex at CHOPADA, Dist.-JALGAON</v>
      </c>
      <c r="B5" s="950"/>
      <c r="C5" s="950"/>
      <c r="D5" s="950"/>
      <c r="E5" s="950"/>
      <c r="F5" s="950"/>
      <c r="G5" s="950"/>
    </row>
    <row r="6" spans="1:255">
      <c r="B6" s="243"/>
      <c r="C6" s="283"/>
      <c r="D6" s="243"/>
      <c r="E6" s="245"/>
      <c r="F6" s="244"/>
      <c r="G6" s="243"/>
    </row>
    <row r="7" spans="1:255" ht="22.5">
      <c r="A7" s="951" t="s">
        <v>536</v>
      </c>
      <c r="B7" s="951"/>
      <c r="C7" s="951"/>
      <c r="D7" s="951"/>
      <c r="E7" s="951"/>
      <c r="F7" s="951"/>
      <c r="G7" s="951"/>
    </row>
    <row r="8" spans="1:255">
      <c r="D8" s="246"/>
      <c r="E8" s="247"/>
      <c r="F8" s="248"/>
      <c r="G8" s="246"/>
    </row>
    <row r="9" spans="1:255" ht="16.5">
      <c r="A9" s="952" t="s">
        <v>537</v>
      </c>
      <c r="B9" s="953"/>
      <c r="C9" s="953"/>
      <c r="D9" s="953"/>
      <c r="E9" s="953"/>
      <c r="F9" s="953"/>
      <c r="G9" s="953"/>
    </row>
    <row r="10" spans="1:255">
      <c r="B10" s="246"/>
      <c r="C10" s="285"/>
      <c r="D10" s="246"/>
      <c r="E10" s="247"/>
      <c r="F10" s="248"/>
      <c r="G10" s="246"/>
    </row>
    <row r="11" spans="1:255" s="271" customFormat="1" ht="15" customHeight="1">
      <c r="A11" s="947" t="s">
        <v>454</v>
      </c>
      <c r="B11" s="947" t="s">
        <v>538</v>
      </c>
      <c r="C11" s="947" t="s">
        <v>455</v>
      </c>
      <c r="D11" s="947" t="s">
        <v>539</v>
      </c>
      <c r="E11" s="947"/>
      <c r="F11" s="947" t="s">
        <v>117</v>
      </c>
      <c r="G11" s="947" t="s">
        <v>540</v>
      </c>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6"/>
      <c r="BS11" s="296"/>
      <c r="BT11" s="296"/>
      <c r="BU11" s="296"/>
      <c r="BV11" s="296"/>
      <c r="BW11" s="296"/>
      <c r="BX11" s="296"/>
      <c r="BY11" s="296"/>
      <c r="BZ11" s="296"/>
      <c r="CA11" s="296"/>
      <c r="CB11" s="296"/>
      <c r="CC11" s="296"/>
      <c r="CD11" s="296"/>
      <c r="CE11" s="296"/>
      <c r="CF11" s="296"/>
      <c r="CG11" s="296"/>
      <c r="CH11" s="296"/>
      <c r="CI11" s="296"/>
      <c r="CJ11" s="296"/>
      <c r="CK11" s="296"/>
      <c r="CL11" s="296"/>
      <c r="CM11" s="296"/>
      <c r="CN11" s="296"/>
      <c r="CO11" s="296"/>
      <c r="CP11" s="296"/>
      <c r="CQ11" s="296"/>
      <c r="CR11" s="296"/>
      <c r="CS11" s="296"/>
      <c r="CT11" s="296"/>
      <c r="CU11" s="296"/>
      <c r="CV11" s="296"/>
      <c r="CW11" s="296"/>
      <c r="CX11" s="296"/>
      <c r="CY11" s="296"/>
      <c r="CZ11" s="296"/>
      <c r="DA11" s="296"/>
      <c r="DB11" s="296"/>
      <c r="DC11" s="296"/>
      <c r="DD11" s="296"/>
      <c r="DE11" s="296"/>
      <c r="DF11" s="296"/>
      <c r="DG11" s="296"/>
      <c r="DH11" s="296"/>
      <c r="DI11" s="296"/>
      <c r="DJ11" s="296"/>
      <c r="DK11" s="296"/>
      <c r="DL11" s="296"/>
      <c r="DM11" s="296"/>
      <c r="DN11" s="296"/>
      <c r="DO11" s="296"/>
      <c r="DP11" s="296"/>
      <c r="DQ11" s="296"/>
      <c r="DR11" s="296"/>
      <c r="DS11" s="296"/>
      <c r="DT11" s="296"/>
      <c r="DU11" s="296"/>
      <c r="DV11" s="296"/>
      <c r="DW11" s="296"/>
      <c r="DX11" s="296"/>
      <c r="DY11" s="296"/>
      <c r="DZ11" s="296"/>
      <c r="EA11" s="296"/>
      <c r="EB11" s="296"/>
      <c r="EC11" s="296"/>
      <c r="ED11" s="296"/>
      <c r="EE11" s="296"/>
      <c r="EF11" s="296"/>
      <c r="EG11" s="296"/>
      <c r="EH11" s="296"/>
      <c r="EI11" s="296"/>
      <c r="EJ11" s="296"/>
      <c r="EK11" s="296"/>
      <c r="EL11" s="296"/>
      <c r="EM11" s="296"/>
      <c r="EN11" s="296"/>
      <c r="EO11" s="296"/>
      <c r="EP11" s="296"/>
      <c r="EQ11" s="296"/>
      <c r="ER11" s="296"/>
      <c r="ES11" s="296"/>
      <c r="ET11" s="296"/>
      <c r="EU11" s="296"/>
      <c r="EV11" s="296"/>
      <c r="EW11" s="296"/>
      <c r="EX11" s="296"/>
      <c r="EY11" s="296"/>
      <c r="EZ11" s="296"/>
      <c r="FA11" s="296"/>
      <c r="FB11" s="296"/>
      <c r="FC11" s="296"/>
      <c r="FD11" s="296"/>
      <c r="FE11" s="296"/>
      <c r="FF11" s="296"/>
      <c r="FG11" s="296"/>
      <c r="FH11" s="296"/>
      <c r="FI11" s="296"/>
      <c r="FJ11" s="296"/>
      <c r="FK11" s="296"/>
      <c r="FL11" s="296"/>
      <c r="FM11" s="296"/>
      <c r="FN11" s="296"/>
      <c r="FO11" s="296"/>
      <c r="FP11" s="296"/>
      <c r="FQ11" s="296"/>
      <c r="FR11" s="296"/>
      <c r="FS11" s="296"/>
      <c r="FT11" s="296"/>
      <c r="FU11" s="296"/>
      <c r="FV11" s="296"/>
      <c r="FW11" s="296"/>
      <c r="FX11" s="296"/>
      <c r="FY11" s="296"/>
      <c r="FZ11" s="296"/>
      <c r="GA11" s="296"/>
      <c r="GB11" s="296"/>
      <c r="GC11" s="296"/>
      <c r="GD11" s="296"/>
      <c r="GE11" s="296"/>
      <c r="GF11" s="296"/>
      <c r="GG11" s="296"/>
      <c r="GH11" s="296"/>
      <c r="GI11" s="296"/>
      <c r="GJ11" s="296"/>
      <c r="GK11" s="296"/>
      <c r="GL11" s="296"/>
      <c r="GM11" s="296"/>
      <c r="GN11" s="296"/>
      <c r="GO11" s="296"/>
      <c r="GP11" s="296"/>
      <c r="GQ11" s="296"/>
      <c r="GR11" s="296"/>
      <c r="GS11" s="296"/>
      <c r="GT11" s="296"/>
      <c r="GU11" s="296"/>
      <c r="GV11" s="296"/>
      <c r="GW11" s="296"/>
      <c r="GX11" s="296"/>
      <c r="GY11" s="296"/>
      <c r="GZ11" s="296"/>
      <c r="HA11" s="296"/>
      <c r="HB11" s="296"/>
      <c r="HC11" s="296"/>
      <c r="HD11" s="296"/>
      <c r="HE11" s="296"/>
      <c r="HF11" s="296"/>
      <c r="HG11" s="296"/>
      <c r="HH11" s="296"/>
      <c r="HI11" s="296"/>
      <c r="HJ11" s="296"/>
      <c r="HK11" s="296"/>
      <c r="HL11" s="296"/>
      <c r="HM11" s="296"/>
      <c r="HN11" s="296"/>
      <c r="HO11" s="296"/>
      <c r="HP11" s="296"/>
      <c r="HQ11" s="296"/>
      <c r="HR11" s="296"/>
      <c r="HS11" s="296"/>
      <c r="HT11" s="296"/>
      <c r="HU11" s="296"/>
      <c r="HV11" s="296"/>
      <c r="HW11" s="296"/>
      <c r="HX11" s="296"/>
      <c r="HY11" s="296"/>
      <c r="HZ11" s="296"/>
      <c r="IA11" s="296"/>
      <c r="IB11" s="296"/>
      <c r="IC11" s="296"/>
      <c r="ID11" s="296"/>
      <c r="IE11" s="296"/>
      <c r="IF11" s="296"/>
      <c r="IG11" s="296"/>
      <c r="IH11" s="296"/>
      <c r="II11" s="296"/>
      <c r="IJ11" s="296"/>
      <c r="IK11" s="296"/>
      <c r="IL11" s="296"/>
      <c r="IM11" s="296"/>
      <c r="IN11" s="296"/>
      <c r="IO11" s="296"/>
      <c r="IP11" s="296"/>
      <c r="IQ11" s="296"/>
      <c r="IR11" s="296"/>
      <c r="IS11" s="296"/>
      <c r="IT11" s="296"/>
      <c r="IU11" s="296"/>
    </row>
    <row r="12" spans="1:255" s="271" customFormat="1" ht="64.5" customHeight="1">
      <c r="A12" s="947"/>
      <c r="B12" s="947"/>
      <c r="C12" s="947"/>
      <c r="D12" s="297" t="s">
        <v>541</v>
      </c>
      <c r="E12" s="297" t="s">
        <v>542</v>
      </c>
      <c r="F12" s="947"/>
      <c r="G12" s="947"/>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c r="BY12" s="296"/>
      <c r="BZ12" s="296"/>
      <c r="CA12" s="296"/>
      <c r="CB12" s="296"/>
      <c r="CC12" s="296"/>
      <c r="CD12" s="296"/>
      <c r="CE12" s="296"/>
      <c r="CF12" s="296"/>
      <c r="CG12" s="296"/>
      <c r="CH12" s="296"/>
      <c r="CI12" s="296"/>
      <c r="CJ12" s="296"/>
      <c r="CK12" s="296"/>
      <c r="CL12" s="296"/>
      <c r="CM12" s="296"/>
      <c r="CN12" s="296"/>
      <c r="CO12" s="296"/>
      <c r="CP12" s="296"/>
      <c r="CQ12" s="296"/>
      <c r="CR12" s="296"/>
      <c r="CS12" s="296"/>
      <c r="CT12" s="296"/>
      <c r="CU12" s="296"/>
      <c r="CV12" s="296"/>
      <c r="CW12" s="296"/>
      <c r="CX12" s="296"/>
      <c r="CY12" s="296"/>
      <c r="CZ12" s="296"/>
      <c r="DA12" s="296"/>
      <c r="DB12" s="296"/>
      <c r="DC12" s="296"/>
      <c r="DD12" s="296"/>
      <c r="DE12" s="296"/>
      <c r="DF12" s="296"/>
      <c r="DG12" s="296"/>
      <c r="DH12" s="296"/>
      <c r="DI12" s="296"/>
      <c r="DJ12" s="296"/>
      <c r="DK12" s="296"/>
      <c r="DL12" s="296"/>
      <c r="DM12" s="296"/>
      <c r="DN12" s="296"/>
      <c r="DO12" s="296"/>
      <c r="DP12" s="296"/>
      <c r="DQ12" s="296"/>
      <c r="DR12" s="296"/>
      <c r="DS12" s="296"/>
      <c r="DT12" s="296"/>
      <c r="DU12" s="296"/>
      <c r="DV12" s="296"/>
      <c r="DW12" s="296"/>
      <c r="DX12" s="296"/>
      <c r="DY12" s="296"/>
      <c r="DZ12" s="296"/>
      <c r="EA12" s="296"/>
      <c r="EB12" s="296"/>
      <c r="EC12" s="296"/>
      <c r="ED12" s="296"/>
      <c r="EE12" s="296"/>
      <c r="EF12" s="296"/>
      <c r="EG12" s="296"/>
      <c r="EH12" s="296"/>
      <c r="EI12" s="296"/>
      <c r="EJ12" s="296"/>
      <c r="EK12" s="296"/>
      <c r="EL12" s="296"/>
      <c r="EM12" s="296"/>
      <c r="EN12" s="296"/>
      <c r="EO12" s="296"/>
      <c r="EP12" s="296"/>
      <c r="EQ12" s="296"/>
      <c r="ER12" s="296"/>
      <c r="ES12" s="296"/>
      <c r="ET12" s="296"/>
      <c r="EU12" s="296"/>
      <c r="EV12" s="296"/>
      <c r="EW12" s="296"/>
      <c r="EX12" s="296"/>
      <c r="EY12" s="296"/>
      <c r="EZ12" s="296"/>
      <c r="FA12" s="296"/>
      <c r="FB12" s="296"/>
      <c r="FC12" s="296"/>
      <c r="FD12" s="296"/>
      <c r="FE12" s="296"/>
      <c r="FF12" s="296"/>
      <c r="FG12" s="296"/>
      <c r="FH12" s="296"/>
      <c r="FI12" s="296"/>
      <c r="FJ12" s="296"/>
      <c r="FK12" s="296"/>
      <c r="FL12" s="296"/>
      <c r="FM12" s="296"/>
      <c r="FN12" s="296"/>
      <c r="FO12" s="296"/>
      <c r="FP12" s="296"/>
      <c r="FQ12" s="296"/>
      <c r="FR12" s="296"/>
      <c r="FS12" s="296"/>
      <c r="FT12" s="296"/>
      <c r="FU12" s="296"/>
      <c r="FV12" s="296"/>
      <c r="FW12" s="296"/>
      <c r="FX12" s="296"/>
      <c r="FY12" s="296"/>
      <c r="FZ12" s="296"/>
      <c r="GA12" s="296"/>
      <c r="GB12" s="296"/>
      <c r="GC12" s="296"/>
      <c r="GD12" s="296"/>
      <c r="GE12" s="296"/>
      <c r="GF12" s="296"/>
      <c r="GG12" s="296"/>
      <c r="GH12" s="296"/>
      <c r="GI12" s="296"/>
      <c r="GJ12" s="296"/>
      <c r="GK12" s="296"/>
      <c r="GL12" s="296"/>
      <c r="GM12" s="296"/>
      <c r="GN12" s="296"/>
      <c r="GO12" s="296"/>
      <c r="GP12" s="296"/>
      <c r="GQ12" s="296"/>
      <c r="GR12" s="296"/>
      <c r="GS12" s="296"/>
      <c r="GT12" s="296"/>
      <c r="GU12" s="296"/>
      <c r="GV12" s="296"/>
      <c r="GW12" s="296"/>
      <c r="GX12" s="296"/>
      <c r="GY12" s="296"/>
      <c r="GZ12" s="296"/>
      <c r="HA12" s="296"/>
      <c r="HB12" s="296"/>
      <c r="HC12" s="296"/>
      <c r="HD12" s="296"/>
      <c r="HE12" s="296"/>
      <c r="HF12" s="296"/>
      <c r="HG12" s="296"/>
      <c r="HH12" s="296"/>
      <c r="HI12" s="296"/>
      <c r="HJ12" s="296"/>
      <c r="HK12" s="296"/>
      <c r="HL12" s="296"/>
      <c r="HM12" s="296"/>
      <c r="HN12" s="296"/>
      <c r="HO12" s="296"/>
      <c r="HP12" s="296"/>
      <c r="HQ12" s="296"/>
      <c r="HR12" s="296"/>
      <c r="HS12" s="296"/>
      <c r="HT12" s="296"/>
      <c r="HU12" s="296"/>
      <c r="HV12" s="296"/>
      <c r="HW12" s="296"/>
      <c r="HX12" s="296"/>
      <c r="HY12" s="296"/>
      <c r="HZ12" s="296"/>
      <c r="IA12" s="296"/>
      <c r="IB12" s="296"/>
      <c r="IC12" s="296"/>
      <c r="ID12" s="296"/>
      <c r="IE12" s="296"/>
      <c r="IF12" s="296"/>
      <c r="IG12" s="296"/>
      <c r="IH12" s="296"/>
      <c r="II12" s="296"/>
      <c r="IJ12" s="296"/>
      <c r="IK12" s="296"/>
      <c r="IL12" s="296"/>
      <c r="IM12" s="296"/>
      <c r="IN12" s="296"/>
      <c r="IO12" s="296"/>
      <c r="IP12" s="296"/>
      <c r="IQ12" s="296"/>
      <c r="IR12" s="296"/>
      <c r="IS12" s="296"/>
      <c r="IT12" s="296"/>
      <c r="IU12" s="296"/>
    </row>
    <row r="13" spans="1:255" s="295" customFormat="1" ht="15">
      <c r="A13" s="292">
        <v>1</v>
      </c>
      <c r="B13" s="293">
        <v>2</v>
      </c>
      <c r="C13" s="292">
        <v>3</v>
      </c>
      <c r="D13" s="292">
        <v>4</v>
      </c>
      <c r="E13" s="292">
        <v>5</v>
      </c>
      <c r="F13" s="292">
        <v>6</v>
      </c>
      <c r="G13" s="292">
        <v>7</v>
      </c>
      <c r="H13" s="294"/>
      <c r="I13" s="294"/>
      <c r="J13" s="294"/>
      <c r="K13" s="294"/>
      <c r="L13" s="294"/>
      <c r="M13" s="294"/>
      <c r="N13" s="294"/>
      <c r="O13" s="294"/>
      <c r="P13" s="294"/>
      <c r="Q13" s="294"/>
      <c r="R13" s="294"/>
      <c r="S13" s="294"/>
      <c r="T13" s="294"/>
      <c r="U13" s="294"/>
      <c r="V13" s="294"/>
      <c r="W13" s="294"/>
      <c r="X13" s="294"/>
      <c r="Y13" s="294"/>
      <c r="Z13" s="294"/>
      <c r="AA13" s="294"/>
      <c r="AB13" s="294"/>
      <c r="AC13" s="294"/>
      <c r="AD13" s="294"/>
      <c r="AE13" s="294"/>
      <c r="AF13" s="294"/>
      <c r="AG13" s="294"/>
      <c r="AH13" s="294"/>
      <c r="AI13" s="294"/>
      <c r="AJ13" s="294"/>
      <c r="AK13" s="294"/>
      <c r="AL13" s="294"/>
      <c r="AM13" s="294"/>
      <c r="AN13" s="294"/>
      <c r="AO13" s="294"/>
      <c r="AP13" s="294"/>
      <c r="AQ13" s="294"/>
      <c r="AR13" s="294"/>
      <c r="AS13" s="294"/>
      <c r="AT13" s="294"/>
      <c r="AU13" s="294"/>
      <c r="AV13" s="294"/>
      <c r="AW13" s="294"/>
      <c r="AX13" s="294"/>
      <c r="AY13" s="294"/>
      <c r="AZ13" s="294"/>
      <c r="BA13" s="294"/>
      <c r="BB13" s="294"/>
      <c r="BC13" s="294"/>
      <c r="BD13" s="294"/>
      <c r="BE13" s="294"/>
      <c r="BF13" s="294"/>
      <c r="BG13" s="294"/>
      <c r="BH13" s="294"/>
      <c r="BI13" s="294"/>
      <c r="BJ13" s="294"/>
      <c r="BK13" s="294"/>
      <c r="BL13" s="294"/>
      <c r="BM13" s="294"/>
      <c r="BN13" s="294"/>
      <c r="BO13" s="294"/>
      <c r="BP13" s="294"/>
      <c r="BQ13" s="294"/>
      <c r="BR13" s="294"/>
      <c r="BS13" s="294"/>
      <c r="BT13" s="294"/>
      <c r="BU13" s="294"/>
      <c r="BV13" s="294"/>
      <c r="BW13" s="294"/>
      <c r="BX13" s="294"/>
      <c r="BY13" s="294"/>
      <c r="BZ13" s="294"/>
      <c r="CA13" s="294"/>
      <c r="CB13" s="294"/>
      <c r="CC13" s="294"/>
      <c r="CD13" s="294"/>
      <c r="CE13" s="294"/>
      <c r="CF13" s="294"/>
      <c r="CG13" s="294"/>
      <c r="CH13" s="294"/>
      <c r="CI13" s="294"/>
      <c r="CJ13" s="294"/>
      <c r="CK13" s="294"/>
      <c r="CL13" s="294"/>
      <c r="CM13" s="294"/>
      <c r="CN13" s="294"/>
      <c r="CO13" s="294"/>
      <c r="CP13" s="294"/>
      <c r="CQ13" s="294"/>
      <c r="CR13" s="294"/>
      <c r="CS13" s="294"/>
      <c r="CT13" s="294"/>
      <c r="CU13" s="294"/>
      <c r="CV13" s="294"/>
      <c r="CW13" s="294"/>
      <c r="CX13" s="294"/>
      <c r="CY13" s="294"/>
      <c r="CZ13" s="294"/>
      <c r="DA13" s="294"/>
      <c r="DB13" s="294"/>
      <c r="DC13" s="294"/>
      <c r="DD13" s="294"/>
      <c r="DE13" s="294"/>
      <c r="DF13" s="294"/>
      <c r="DG13" s="294"/>
      <c r="DH13" s="294"/>
      <c r="DI13" s="294"/>
      <c r="DJ13" s="294"/>
      <c r="DK13" s="294"/>
      <c r="DL13" s="294"/>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294"/>
      <c r="EP13" s="294"/>
      <c r="EQ13" s="294"/>
      <c r="ER13" s="294"/>
      <c r="ES13" s="294"/>
      <c r="ET13" s="294"/>
      <c r="EU13" s="294"/>
      <c r="EV13" s="294"/>
      <c r="EW13" s="294"/>
      <c r="EX13" s="294"/>
      <c r="EY13" s="294"/>
      <c r="EZ13" s="294"/>
      <c r="FA13" s="294"/>
      <c r="FB13" s="294"/>
      <c r="FC13" s="294"/>
      <c r="FD13" s="294"/>
      <c r="FE13" s="294"/>
      <c r="FF13" s="294"/>
      <c r="FG13" s="294"/>
      <c r="FH13" s="294"/>
      <c r="FI13" s="294"/>
      <c r="FJ13" s="294"/>
      <c r="FK13" s="294"/>
      <c r="FL13" s="294"/>
      <c r="FM13" s="294"/>
      <c r="FN13" s="294"/>
      <c r="FO13" s="294"/>
      <c r="FP13" s="294"/>
      <c r="FQ13" s="294"/>
      <c r="FR13" s="294"/>
      <c r="FS13" s="294"/>
      <c r="FT13" s="294"/>
      <c r="FU13" s="294"/>
      <c r="FV13" s="294"/>
      <c r="FW13" s="294"/>
      <c r="FX13" s="294"/>
      <c r="FY13" s="294"/>
      <c r="FZ13" s="294"/>
      <c r="GA13" s="294"/>
      <c r="GB13" s="294"/>
      <c r="GC13" s="294"/>
      <c r="GD13" s="294"/>
      <c r="GE13" s="294"/>
      <c r="GF13" s="294"/>
      <c r="GG13" s="294"/>
      <c r="GH13" s="294"/>
      <c r="GI13" s="294"/>
      <c r="GJ13" s="294"/>
      <c r="GK13" s="294"/>
      <c r="GL13" s="294"/>
      <c r="GM13" s="294"/>
      <c r="GN13" s="294"/>
      <c r="GO13" s="294"/>
      <c r="GP13" s="294"/>
      <c r="GQ13" s="294"/>
      <c r="GR13" s="294"/>
      <c r="GS13" s="294"/>
      <c r="GT13" s="294"/>
      <c r="GU13" s="294"/>
      <c r="GV13" s="294"/>
      <c r="GW13" s="294"/>
      <c r="GX13" s="294"/>
      <c r="GY13" s="294"/>
      <c r="GZ13" s="294"/>
      <c r="HA13" s="294"/>
      <c r="HB13" s="294"/>
      <c r="HC13" s="294"/>
      <c r="HD13" s="294"/>
      <c r="HE13" s="294"/>
      <c r="HF13" s="294"/>
      <c r="HG13" s="294"/>
      <c r="HH13" s="294"/>
      <c r="HI13" s="294"/>
      <c r="HJ13" s="294"/>
      <c r="HK13" s="294"/>
      <c r="HL13" s="294"/>
      <c r="HM13" s="294"/>
      <c r="HN13" s="294"/>
      <c r="HO13" s="294"/>
      <c r="HP13" s="294"/>
      <c r="HQ13" s="294"/>
      <c r="HR13" s="294"/>
      <c r="HS13" s="294"/>
      <c r="HT13" s="294"/>
      <c r="HU13" s="294"/>
      <c r="HV13" s="294"/>
      <c r="HW13" s="294"/>
      <c r="HX13" s="294"/>
      <c r="HY13" s="294"/>
      <c r="HZ13" s="294"/>
      <c r="IA13" s="294"/>
      <c r="IB13" s="294"/>
      <c r="IC13" s="294"/>
      <c r="ID13" s="294"/>
      <c r="IE13" s="294"/>
      <c r="IF13" s="294"/>
      <c r="IG13" s="294"/>
      <c r="IH13" s="294"/>
      <c r="II13" s="294"/>
      <c r="IJ13" s="294"/>
      <c r="IK13" s="294"/>
      <c r="IL13" s="294"/>
      <c r="IM13" s="294"/>
      <c r="IN13" s="294"/>
      <c r="IO13" s="294"/>
      <c r="IP13" s="294"/>
      <c r="IQ13" s="294"/>
      <c r="IR13" s="294"/>
      <c r="IS13" s="294"/>
      <c r="IT13" s="294"/>
      <c r="IU13" s="294"/>
    </row>
    <row r="14" spans="1:255" ht="20.25" customHeight="1">
      <c r="A14" s="249"/>
      <c r="B14" s="250"/>
      <c r="C14" s="286" t="str">
        <f>Abst.WT!B89</f>
        <v>SUB WORK  I : -PROPOSED NEW CONSTRUCTON WORK OF STORAGE PACK HOUSE</v>
      </c>
      <c r="D14" s="251"/>
      <c r="E14" s="252"/>
      <c r="F14" s="253"/>
      <c r="G14" s="308"/>
    </row>
    <row r="15" spans="1:255" ht="96" customHeight="1">
      <c r="A15" s="254">
        <f>Abst.WT!A97</f>
        <v>1</v>
      </c>
      <c r="B15" s="255">
        <f>Abst.WT!C97</f>
        <v>29</v>
      </c>
      <c r="C15" s="278" t="str">
        <f>Abst.WT!B97</f>
        <v>Excavation for foundation in earth, soil of all types, sand, gravel and soft murum, including removing the excavated material up to a distance of 50 m. beyond the building area and stacking and spreading as directed, dewatering, preparing the bed for the foundation and necessary back filling, ramming, watering including shoring and strutting etc. complete. (Lift upto 1.5 m.) By Mechanical Means....(INo21-02, PgNo 197) (STATE SSR ) Item Spec: (Bd.A.1 Page No. 259)</v>
      </c>
      <c r="D15" s="255">
        <f>Abst.WT!N97</f>
        <v>164.85</v>
      </c>
      <c r="E15" s="256" t="s">
        <v>543</v>
      </c>
      <c r="F15" s="257" t="str">
        <f>Abst.WT!D97</f>
        <v>C.um</v>
      </c>
      <c r="G15" s="290">
        <f>ROUNDUP(B15*D15,0)</f>
        <v>4781</v>
      </c>
      <c r="H15" s="259" t="e">
        <f ca="1">NumberToWord(D15)</f>
        <v>#NAME?</v>
      </c>
      <c r="I15" s="259"/>
    </row>
    <row r="16" spans="1:255" ht="14.25" customHeight="1">
      <c r="A16" s="254"/>
      <c r="B16" s="255"/>
      <c r="C16" s="278"/>
      <c r="D16" s="255"/>
      <c r="E16" s="256"/>
      <c r="F16" s="257"/>
      <c r="G16" s="290"/>
      <c r="H16" s="259"/>
      <c r="I16" s="259"/>
    </row>
    <row r="17" spans="1:9" ht="97.5" customHeight="1">
      <c r="A17" s="254">
        <f>Abst.WT!A99</f>
        <v>2</v>
      </c>
      <c r="B17" s="255">
        <f>Abst.WT!C99</f>
        <v>58</v>
      </c>
      <c r="C17" s="278" t="str">
        <f>Abst.WT!B99</f>
        <v xml:space="preserve"> Excavation for foundation in hard murum including removing the excavated material upto distance of 50 metres beyond the building area and stacking and spreading as directed, dewatering, preparing the bed for the foundation and necessary back filling, ramming, watering including shoring and strutting etc. complete. (Lift upto 1.50 m) By Mechanical Mean....(INo 21-06, PgNo 197) (STATE SSR ) Item Spec: (Bd.A.2 Page No. 259)</v>
      </c>
      <c r="D17" s="255">
        <f>Abst.WT!N99</f>
        <v>180.6</v>
      </c>
      <c r="E17" s="256" t="s">
        <v>545</v>
      </c>
      <c r="F17" s="257" t="str">
        <f>Abst.WT!D99</f>
        <v>C.um</v>
      </c>
      <c r="G17" s="290">
        <f>ROUNDUP(B17*D17,0)</f>
        <v>10475</v>
      </c>
      <c r="H17" s="259" t="e">
        <f t="shared" ref="H17:H39" ca="1" si="0">NumberToWord(D17)</f>
        <v>#NAME?</v>
      </c>
      <c r="I17" s="259"/>
    </row>
    <row r="18" spans="1:9" ht="14.25" customHeight="1">
      <c r="A18" s="254"/>
      <c r="B18" s="255"/>
      <c r="C18" s="278"/>
      <c r="D18" s="255"/>
      <c r="E18" s="256"/>
      <c r="F18" s="257"/>
      <c r="G18" s="290"/>
      <c r="H18" s="259"/>
      <c r="I18" s="259"/>
    </row>
    <row r="19" spans="1:9" ht="96.75" customHeight="1">
      <c r="A19" s="254">
        <f>Abst.WT!A101</f>
        <v>3</v>
      </c>
      <c r="B19" s="255">
        <f>Abst.WT!C101</f>
        <v>7</v>
      </c>
      <c r="C19" s="278" t="str">
        <f>Abst.WT!B101</f>
        <v xml:space="preserve"> Providing and laying Cast in situ/Ready Mix cement concrete in M-10 of trap/ granitel quartzitel gneiss metal for foundation and bedding including bailing out water, Steel centering, formwork, laying/pumping, compacting, roughening them if special finish is to be provided, finishing if required and curing complete, with fully automatic micro processor based PLC with SCADA enabled reversible Drum Type mixer/concrete Batch mix plant (Pan mixer) etc. complete. With fine aggregate (Natural Sand / Crushed sand VSI Grade finely washed etc)....(INo24-01, PgNo 226) ( STATE SSR ) Item Spec: (Bd. E. 1 Page No. 287)</v>
      </c>
      <c r="D19" s="255">
        <f>Abst.WT!N101</f>
        <v>5141.2</v>
      </c>
      <c r="E19" s="256" t="s">
        <v>546</v>
      </c>
      <c r="F19" s="257" t="str">
        <f>Abst.WT!D101</f>
        <v>C.um</v>
      </c>
      <c r="G19" s="290">
        <f>ROUNDUP(B19*D19,0)</f>
        <v>35989</v>
      </c>
      <c r="H19" s="259" t="e">
        <f t="shared" ca="1" si="0"/>
        <v>#NAME?</v>
      </c>
      <c r="I19" s="259"/>
    </row>
    <row r="20" spans="1:9" ht="14.25" customHeight="1">
      <c r="A20" s="254"/>
      <c r="B20" s="255"/>
      <c r="C20" s="278"/>
      <c r="D20" s="255"/>
      <c r="E20" s="256"/>
      <c r="F20" s="257"/>
      <c r="G20" s="290"/>
      <c r="H20" s="259"/>
      <c r="I20" s="259"/>
    </row>
    <row r="21" spans="1:9" ht="97.5" customHeight="1">
      <c r="A21" s="254">
        <f>Abst.WT!A103</f>
        <v>4</v>
      </c>
      <c r="B21" s="255">
        <f>Abst.WT!C103</f>
        <v>9.0719999999999992</v>
      </c>
      <c r="C21" s="278" t="str">
        <f>Abst.WT!B103</f>
        <v>Providing and laying Cast in situ/Ready Mix cement concrete M-20 of trap / granite /quartzite/ gneiss metal for R.C.C. work in foundations like raft, strip foundations, grillage and footings of R.C.C. columns and steel stanchions etc. including bailing out water, Steel centering, formwork ,cover blocks, laying/pumping, compaction and curing roughening the surface if special finish is to be provided (Excluding reinforcement and structural steel) etc. complete, with fully automatic micro processor based PLC with SCADA enabled reversible Drum Type mixer/ concrete Batch mix plant (Pan mixer) etc. complete. With fine aggregate (Natural Sand / Crushed sand VSI Grade finely washed etc</v>
      </c>
      <c r="D21" s="255">
        <f>Abst.WT!N103</f>
        <v>6047.31</v>
      </c>
      <c r="E21" s="256" t="s">
        <v>547</v>
      </c>
      <c r="F21" s="257" t="str">
        <f>Abst.WT!D103</f>
        <v>C.um</v>
      </c>
      <c r="G21" s="290">
        <f>ROUNDUP(B21*D21,0)</f>
        <v>54862</v>
      </c>
      <c r="H21" s="259" t="e">
        <f t="shared" ca="1" si="0"/>
        <v>#NAME?</v>
      </c>
      <c r="I21" s="259"/>
    </row>
    <row r="22" spans="1:9" ht="14.25" customHeight="1">
      <c r="A22" s="254"/>
      <c r="B22" s="255"/>
      <c r="C22" s="278"/>
      <c r="D22" s="255"/>
      <c r="E22" s="256"/>
      <c r="F22" s="257"/>
      <c r="G22" s="290"/>
      <c r="H22" s="259"/>
      <c r="I22" s="259"/>
    </row>
    <row r="23" spans="1:9" ht="111" customHeight="1">
      <c r="A23" s="254">
        <f>Abst.WT!A105</f>
        <v>5</v>
      </c>
      <c r="B23" s="255">
        <f>Abst.WT!C105</f>
        <v>4.83</v>
      </c>
      <c r="C23" s="278" t="str">
        <f>Abst.WT!B105</f>
        <v>Providing and laying Cast in situ/Ready Mix cement concrete M-20 of trap / granite /quartzite/ gneiss metal for R.C.C. columns as per detailed designs and drawings or as directed including steel centering, formwork, cover blocks compacting and roughening if special finish is to be provided and curing etc. complete. (Excluding reinforcement and structural steel).with fully automatic micro processor based PLC with SCADA enabled reversible Drum Type mixer/ concrete Batch mix plant (Pan mixer) etc. complete. With fine aggregate (Natural Sand / Crushed sand VSI Grade finely washed etc)</v>
      </c>
      <c r="D23" s="255">
        <f>Abst.WT!N105</f>
        <v>11406.68</v>
      </c>
      <c r="E23" s="256" t="s">
        <v>548</v>
      </c>
      <c r="F23" s="257" t="str">
        <f>Abst.WT!D105</f>
        <v>C.um</v>
      </c>
      <c r="G23" s="290">
        <f>ROUNDUP(B23*D23,0)</f>
        <v>55095</v>
      </c>
      <c r="H23" s="259" t="e">
        <f t="shared" ca="1" si="0"/>
        <v>#NAME?</v>
      </c>
      <c r="I23" s="259"/>
    </row>
    <row r="24" spans="1:9" ht="14.25" customHeight="1">
      <c r="A24" s="254"/>
      <c r="B24" s="255"/>
      <c r="C24" s="278"/>
      <c r="D24" s="255"/>
      <c r="E24" s="256"/>
      <c r="F24" s="257"/>
      <c r="G24" s="290"/>
      <c r="H24" s="259"/>
      <c r="I24" s="259"/>
    </row>
    <row r="25" spans="1:9" ht="101.25" customHeight="1">
      <c r="A25" s="254">
        <f>Abst.WT!A107</f>
        <v>6</v>
      </c>
      <c r="B25" s="255">
        <f>Abst.WT!C107</f>
        <v>5.6938800000000001</v>
      </c>
      <c r="C25" s="278" t="str">
        <f>Abst.WT!B107</f>
        <v xml:space="preserve"> Providing and laying Cast in situ/Ready Mix cement concrete M-20 of trap/ granite /quartzite/ gneiss metal for R.C.C. beams and lintels as per detailed designs and drawings or as directed including steel centering, formwork, cover blocks, laying/pumping, compactionand roughening the surface if special finish is to be provided and curing etc. complete. (Excluding reinforcement and structural steel). with fully automatic micro processor based PLC with SCADA enabled reversible Drum Type mixer/ concrete Batch mix plant (Pan mixer) etc. complete. With fine aggregate (Natural Sand / Crushed sand VSI Grade finely washed etc).... (INo25-50, PgNo 234) (STATE SSR ) Item Spec: (Bd.F.6 Page No. 300 and B.7, Page No.38)</v>
      </c>
      <c r="D25" s="255">
        <f>Abst.WT!N107</f>
        <v>10108.370000000001</v>
      </c>
      <c r="E25" s="256" t="s">
        <v>549</v>
      </c>
      <c r="F25" s="257" t="str">
        <f>Abst.WT!D107</f>
        <v>C.um</v>
      </c>
      <c r="G25" s="290">
        <f>ROUNDUP(B25*D25,0)</f>
        <v>57556</v>
      </c>
      <c r="H25" s="259" t="e">
        <f t="shared" ca="1" si="0"/>
        <v>#NAME?</v>
      </c>
      <c r="I25" s="259"/>
    </row>
    <row r="26" spans="1:9" ht="14.25" customHeight="1">
      <c r="A26" s="254"/>
      <c r="B26" s="255"/>
      <c r="C26" s="278"/>
      <c r="D26" s="255"/>
      <c r="E26" s="256"/>
      <c r="F26" s="257"/>
      <c r="G26" s="290"/>
      <c r="H26" s="259"/>
      <c r="I26" s="259"/>
    </row>
    <row r="27" spans="1:9" ht="70.5" customHeight="1">
      <c r="A27" s="254">
        <f>Abst.WT!A111</f>
        <v>8</v>
      </c>
      <c r="B27" s="255">
        <f>Abst.WT!C111</f>
        <v>6.18</v>
      </c>
      <c r="C27" s="278" t="str">
        <f>Abst.WT!B111</f>
        <v xml:space="preserve"> Providing and fixing in position TMT - FE - 500 bar reinforcement of various diameters for R.C.C. pile caps, footings, foundations, slabs, beams columns, canopies, staircase, newels, chajjas, linteis pardis, copings, fins, arches etc. as per detailed designs, drawings and schedules, including cutting, bending, hooking the bass, binding with wires or tack welding and supporting as required complete ..... (INo26-33, PgNo 245) (STATE SSR ) Item Spec: (Bd.F.17, Page No. 306)</v>
      </c>
      <c r="D27" s="255">
        <f>Abst.WT!N111</f>
        <v>65710.05</v>
      </c>
      <c r="E27" s="256" t="s">
        <v>550</v>
      </c>
      <c r="F27" s="257" t="str">
        <f>Abst.WT!D111</f>
        <v>MT</v>
      </c>
      <c r="G27" s="290">
        <f>ROUNDUP(B27*D27,0)</f>
        <v>406089</v>
      </c>
      <c r="H27" s="259" t="e">
        <f t="shared" ca="1" si="0"/>
        <v>#NAME?</v>
      </c>
      <c r="I27" s="259"/>
    </row>
    <row r="28" spans="1:9" ht="14.25" customHeight="1">
      <c r="A28" s="254"/>
      <c r="B28" s="255"/>
      <c r="C28" s="278"/>
      <c r="D28" s="255"/>
      <c r="E28" s="256"/>
      <c r="F28" s="257"/>
      <c r="G28" s="290"/>
      <c r="H28" s="259"/>
      <c r="I28" s="259"/>
    </row>
    <row r="29" spans="1:9" ht="48.75" customHeight="1">
      <c r="A29" s="254">
        <f>Abst.WT!A113</f>
        <v>9</v>
      </c>
      <c r="B29" s="255">
        <f>Abst.WT!C113</f>
        <v>8</v>
      </c>
      <c r="C29" s="278" t="str">
        <f>Abst.WT!B113</f>
        <v>Providing second class Burnt Brick masonry with conventional/ I.S. type bricks in cement mortar 1:6 in foundations and plinth of inner walls/ in plinth external walls including bailing out water manually , striking joints on unexposed faces, raking out joints on exposed faces and watering etc. Complete.</v>
      </c>
      <c r="D29" s="255">
        <f>Abst.WT!N113</f>
        <v>6111</v>
      </c>
      <c r="E29" s="256" t="s">
        <v>551</v>
      </c>
      <c r="F29" s="257" t="str">
        <f>Abst.WT!D113</f>
        <v>Cum</v>
      </c>
      <c r="G29" s="290">
        <f>ROUNDUP(B29*D29,0)</f>
        <v>48888</v>
      </c>
      <c r="H29" s="259" t="e">
        <f t="shared" ca="1" si="0"/>
        <v>#NAME?</v>
      </c>
      <c r="I29" s="259"/>
    </row>
    <row r="30" spans="1:9" ht="14.25" customHeight="1">
      <c r="A30" s="254"/>
      <c r="B30" s="255"/>
      <c r="C30" s="278"/>
      <c r="D30" s="255"/>
      <c r="E30" s="256"/>
      <c r="F30" s="257"/>
      <c r="G30" s="290"/>
      <c r="H30" s="259"/>
      <c r="I30" s="259"/>
    </row>
    <row r="31" spans="1:9" ht="145.5" customHeight="1">
      <c r="A31" s="254">
        <f>Abst.WT!A117</f>
        <v>11</v>
      </c>
      <c r="B31" s="255">
        <f>Abst.WT!C117</f>
        <v>57.49199999999999</v>
      </c>
      <c r="C31" s="287" t="str">
        <f>Abst.WT!B117</f>
        <v xml:space="preserve"> Filling in plinth and floors with contractors material/brought from outside and approved by Engineer incharge in layers of 15cm, to 20cm, including watering and compaction etc. complete.....(IN021-37, PgNo 201) (STATE SSR ) Item Spec. (Bd. A.11 Page No. 283)</v>
      </c>
      <c r="D31" s="255">
        <f>Abst.WT!N117</f>
        <v>462</v>
      </c>
      <c r="E31" s="256" t="s">
        <v>552</v>
      </c>
      <c r="F31" s="257" t="str">
        <f>Abst.WT!D117</f>
        <v>C.um</v>
      </c>
      <c r="G31" s="290">
        <f>ROUNDUP(B31*D31,0)</f>
        <v>26562</v>
      </c>
      <c r="H31" s="259" t="e">
        <f t="shared" ca="1" si="0"/>
        <v>#NAME?</v>
      </c>
      <c r="I31" s="259"/>
    </row>
    <row r="32" spans="1:9" ht="14.25" customHeight="1">
      <c r="A32" s="254"/>
      <c r="B32" s="255"/>
      <c r="C32" s="278"/>
      <c r="D32" s="255"/>
      <c r="E32" s="256"/>
      <c r="F32" s="257"/>
      <c r="G32" s="290"/>
      <c r="H32" s="259"/>
      <c r="I32" s="259"/>
    </row>
    <row r="33" spans="1:9" ht="129" customHeight="1">
      <c r="A33" s="254">
        <f>Abst.WT!A119</f>
        <v>12</v>
      </c>
      <c r="B33" s="255">
        <f>Abst.WT!C119</f>
        <v>17</v>
      </c>
      <c r="C33" s="278" t="str">
        <f>Abst.WT!B119</f>
        <v>Providing soling using 80 mm size trap metal in 15 cm. layer including filling voids with Crushed sand/grit, ramming, watering etc. Complete</v>
      </c>
      <c r="D33" s="255">
        <f>Abst.WT!N119</f>
        <v>1107.75</v>
      </c>
      <c r="E33" s="256" t="s">
        <v>553</v>
      </c>
      <c r="F33" s="257" t="str">
        <f>Abst.WT!D119</f>
        <v>CUM</v>
      </c>
      <c r="G33" s="290">
        <f>ROUNDUP(B33*D33,0)</f>
        <v>18832</v>
      </c>
      <c r="H33" s="259" t="e">
        <f t="shared" ca="1" si="0"/>
        <v>#NAME?</v>
      </c>
      <c r="I33" s="259"/>
    </row>
    <row r="34" spans="1:9" ht="14.25" customHeight="1">
      <c r="A34" s="254"/>
      <c r="B34" s="255"/>
      <c r="C34" s="278"/>
      <c r="D34" s="255"/>
      <c r="E34" s="256"/>
      <c r="F34" s="257"/>
      <c r="G34" s="290"/>
      <c r="H34" s="259"/>
      <c r="I34" s="259"/>
    </row>
    <row r="35" spans="1:9" ht="114" customHeight="1">
      <c r="A35" s="254">
        <f>Abst.WT!A121</f>
        <v>13</v>
      </c>
      <c r="B35" s="255">
        <f>Abst.WT!C121</f>
        <v>132</v>
      </c>
      <c r="C35" s="278" t="str">
        <f>Abst.WT!B121</f>
        <v xml:space="preserve"> Providing internal cement plaster 12mm thick in single coat in cement mortar 1:4 without neeru finish to concrete or brick surfaces, in all positions including scaffolding and curing etc. complete....(INo32-04. PgNo 268) ( STATE SSR ) Item Spec: (Bd. L.2 Page No. 368)</v>
      </c>
      <c r="D35" s="255">
        <f>Abst.WT!N121</f>
        <v>245.7</v>
      </c>
      <c r="E35" s="256" t="s">
        <v>554</v>
      </c>
      <c r="F35" s="257" t="str">
        <f>Abst.WT!D121</f>
        <v>Sqm</v>
      </c>
      <c r="G35" s="290">
        <f>ROUNDUP(B35*D35,0)</f>
        <v>32433</v>
      </c>
      <c r="H35" s="259" t="e">
        <f t="shared" ca="1" si="0"/>
        <v>#NAME?</v>
      </c>
      <c r="I35" s="259"/>
    </row>
    <row r="36" spans="1:9" ht="14.25" customHeight="1">
      <c r="A36" s="254"/>
      <c r="B36" s="255"/>
      <c r="C36" s="278"/>
      <c r="D36" s="255"/>
      <c r="E36" s="256"/>
      <c r="F36" s="257"/>
      <c r="G36" s="290"/>
      <c r="H36" s="259"/>
      <c r="I36" s="259"/>
    </row>
    <row r="37" spans="1:9" ht="146.25" customHeight="1">
      <c r="A37" s="254">
        <f>Abst.WT!A123</f>
        <v>14</v>
      </c>
      <c r="B37" s="255">
        <f>Abst.WT!C123</f>
        <v>193</v>
      </c>
      <c r="C37" s="278" t="str">
        <f>Abst.WT!B123</f>
        <v xml:space="preserve"> Providing sand faced plaster externally in cement mortar using approved screened sand, in all positions including base coat of 15 mm thick in cement mortar 1:4 using waterproofing compound at 1 kg per cement bag curing the same for not less than 2 days and keeping the surface of the base coat rough to receive the sand faced treatment 6 to 8 mm thick in cement mortar 1:4 finishing the surface by taking out grains and curing for fourteen days scaffolding etc.complete.....(INo32-11, PgNo 269) ( STATE SSR ) Item Spec: (Bd.L.7 Page No. 369)</v>
      </c>
      <c r="D37" s="255">
        <f>Abst.WT!N123</f>
        <v>712.95</v>
      </c>
      <c r="E37" s="256" t="s">
        <v>555</v>
      </c>
      <c r="F37" s="257" t="str">
        <f>Abst.WT!D123</f>
        <v>SqM</v>
      </c>
      <c r="G37" s="290">
        <f>ROUNDUP(B37*D37,0)</f>
        <v>137600</v>
      </c>
      <c r="H37" s="259" t="e">
        <f t="shared" ca="1" si="0"/>
        <v>#NAME?</v>
      </c>
      <c r="I37" s="259"/>
    </row>
    <row r="38" spans="1:9" ht="14.25" customHeight="1">
      <c r="A38" s="254"/>
      <c r="B38" s="255"/>
      <c r="C38" s="278"/>
      <c r="D38" s="255"/>
      <c r="E38" s="256"/>
      <c r="F38" s="257"/>
      <c r="G38" s="290"/>
      <c r="H38" s="259"/>
      <c r="I38" s="259"/>
    </row>
    <row r="39" spans="1:9" ht="97.5" customHeight="1">
      <c r="A39" s="254">
        <f>Abst.WT!A125</f>
        <v>15</v>
      </c>
      <c r="B39" s="255">
        <f>Abst.WT!C125</f>
        <v>132</v>
      </c>
      <c r="C39" s="278" t="str">
        <f>Abst.WT!B125</f>
        <v xml:space="preserve"> Providing &amp; applying washable oil-bound distemper of approved colour and shade to old &amp; new surfaces in two coats including scaffolding, preparing the surfaces. (excluding the primer coat.) etc. complete.....(INo36-11, PgNo 291) (STATE SSR ) Item Spec: (Bd.P.5 Page No. 413</v>
      </c>
      <c r="D39" s="255">
        <f>Abst.WT!N125</f>
        <v>41.48</v>
      </c>
      <c r="E39" s="256" t="s">
        <v>556</v>
      </c>
      <c r="F39" s="257" t="str">
        <f>Abst.WT!D125</f>
        <v>SqM</v>
      </c>
      <c r="G39" s="290">
        <f>ROUNDUP(B39*D39,0)</f>
        <v>5476</v>
      </c>
      <c r="H39" s="259" t="e">
        <f t="shared" ca="1" si="0"/>
        <v>#NAME?</v>
      </c>
      <c r="I39" s="259"/>
    </row>
    <row r="40" spans="1:9" ht="15" customHeight="1">
      <c r="A40" s="254"/>
      <c r="B40" s="255"/>
      <c r="C40" s="278"/>
      <c r="D40" s="255"/>
      <c r="E40" s="256"/>
      <c r="F40" s="257"/>
      <c r="G40" s="290"/>
      <c r="H40" s="259"/>
      <c r="I40" s="259"/>
    </row>
    <row r="41" spans="1:9" ht="267" customHeight="1">
      <c r="A41" s="254">
        <f>Abst.WT!A127</f>
        <v>16</v>
      </c>
      <c r="B41" s="255">
        <f>Abst.WT!C127</f>
        <v>193</v>
      </c>
      <c r="C41" s="278" t="str">
        <f>Abst.WT!B127</f>
        <v xml:space="preserve"> Providing and applying two coats of enterior stayic emulsion paint confirming to corresponding 1S. of approved manufacture and of approved colour to the plastered surfaces including cleaning preparing the plaster surface, applying primer coat ,scaffolding if necessary, and watering the surface for two days etc complete.....(IN035-25, PgNo 288) (STATE SSR) Hem Spec: (As directed by Engineer in charge.)</v>
      </c>
      <c r="D41" s="255">
        <f>Abst.WT!N127</f>
        <v>225.75</v>
      </c>
      <c r="E41" s="256" t="s">
        <v>557</v>
      </c>
      <c r="F41" s="257" t="str">
        <f>Abst.WT!D127</f>
        <v>SQM</v>
      </c>
      <c r="G41" s="290">
        <f>ROUNDUP(B41*D41,0)</f>
        <v>43570</v>
      </c>
      <c r="H41" s="259" t="e">
        <f ca="1">NumberToWord(D41)</f>
        <v>#NAME?</v>
      </c>
      <c r="I41" s="259"/>
    </row>
    <row r="42" spans="1:9" ht="15" customHeight="1">
      <c r="A42" s="254"/>
      <c r="B42" s="255"/>
      <c r="C42" s="278"/>
      <c r="D42" s="255"/>
      <c r="E42" s="256"/>
      <c r="F42" s="257"/>
      <c r="G42" s="290"/>
      <c r="H42" s="259"/>
      <c r="I42" s="259"/>
    </row>
    <row r="43" spans="1:9" ht="70.5" customHeight="1">
      <c r="A43" s="254">
        <f>Abst.WT!A129</f>
        <v>17</v>
      </c>
      <c r="B43" s="255">
        <f>Abst.WT!C129</f>
        <v>0</v>
      </c>
      <c r="C43" s="278" t="str">
        <f>Abst.WT!B129</f>
        <v>Providing and fabricating structural steel work in rolled sections like joists, channels, angles, tees etc. as per detailed design and drawings or as directed including cutting, fabricating, hoisting, erecting, fixing in position making riveted / bolted /welded connections without connecting plates, braces etc. and including one coat of anticorrosive paint and over it two coats of oil painting of approved quality and
shade etc. complete.</v>
      </c>
      <c r="D43" s="255">
        <f>Abst.WT!N129</f>
        <v>77536.2</v>
      </c>
      <c r="E43" s="256" t="s">
        <v>558</v>
      </c>
      <c r="F43" s="257" t="str">
        <f>Abst.WT!D129</f>
        <v>M.T</v>
      </c>
      <c r="G43" s="290">
        <f>ROUNDUP(B43*D43,0)</f>
        <v>0</v>
      </c>
      <c r="H43" s="259" t="e">
        <f ca="1">NumberToWord(D43)</f>
        <v>#NAME?</v>
      </c>
      <c r="I43" s="259"/>
    </row>
    <row r="44" spans="1:9" ht="15" customHeight="1">
      <c r="A44" s="254"/>
      <c r="B44" s="255"/>
      <c r="C44" s="278"/>
      <c r="D44" s="255"/>
      <c r="E44" s="256"/>
      <c r="F44" s="257"/>
      <c r="G44" s="290"/>
      <c r="H44" s="259"/>
      <c r="I44" s="259"/>
    </row>
    <row r="45" spans="1:9" ht="66.75" customHeight="1">
      <c r="A45" s="254">
        <f>Abst.WT!A131</f>
        <v>18</v>
      </c>
      <c r="B45" s="255">
        <f>Abst.WT!C131</f>
        <v>0</v>
      </c>
      <c r="C45" s="288" t="str">
        <f>Abst.WT!B131</f>
        <v xml:space="preserve"> Providing and fixing colour coated Zincalume (R) AZ150 ( min 150 gms/sq.mt. Total on each side ) profiled sheets for roofing. The feed material is manufactured out of nominal 0.45 mm Base Metal Thickness (BMT) (0.5 mm TCT), Hi-strength steel with min.550 Mpa yield strength, metallic hot dip coated with Aluminium-Zinc alloy (55% aluminium 43.4% zinc 1.6% silicon) váth COLORBOND (R) steel quality with thickness of nominal 35 um, comprising of nominal 25 um exterior coat on top surface and nominal 10  coat on back surface. Profile sheet shall have nom. 950-1050 mm width and nominal 25-30 mm deep ribs with subtle square fluting in shall be designed for anti-capillary groove. &amp; return leg. The feed material should have coil manufacturers product details marked a regular interval. Including fasteners with min. Fastened with min. 25 um Zinc-Tin alloy coated, Hex head, self-drilling screw etc. Complete. (weight of profile 4.52 kg/sqm)....(IN038-34 , PgNo 302) ( STATE SSR) Item Spec: (As directed by Engineer in charge.)</v>
      </c>
      <c r="D45" s="255">
        <f>Abst.WT!N131</f>
        <v>1026.9000000000001</v>
      </c>
      <c r="E45" s="256" t="s">
        <v>559</v>
      </c>
      <c r="F45" s="257" t="str">
        <f>Abst.WT!D131</f>
        <v>SQM</v>
      </c>
      <c r="G45" s="290">
        <f>ROUNDUP(B45*D45,0)</f>
        <v>0</v>
      </c>
      <c r="H45" s="259" t="e">
        <f ca="1">NumberToWord(D45)</f>
        <v>#NAME?</v>
      </c>
      <c r="I45" s="259"/>
    </row>
    <row r="46" spans="1:9" ht="15" customHeight="1">
      <c r="A46" s="254"/>
      <c r="B46" s="255"/>
      <c r="C46" s="278"/>
      <c r="D46" s="255"/>
      <c r="E46" s="256"/>
      <c r="F46" s="257"/>
      <c r="G46" s="290"/>
      <c r="H46" s="259"/>
      <c r="I46" s="259"/>
    </row>
    <row r="47" spans="1:9" ht="82.5" customHeight="1">
      <c r="A47" s="254">
        <f>Abst.WT!A133</f>
        <v>19</v>
      </c>
      <c r="B47" s="255">
        <f>Abst.WT!C133</f>
        <v>0</v>
      </c>
      <c r="C47" s="278" t="str">
        <f>Abst.WT!B133</f>
        <v xml:space="preserve"> Providing and fixing of colour coated Zincaluminium R) AZ150 ( min 150 gms/sq.mt. Total on each side ) profiled sheets for roofing. The feed material is manufactured out of nominal 0.45 mm Base Metal Thickness (BMT) (0.5 mm TCT), Hi-strength steel with min.550 Mpa yield strength, metallic hot dip coated with Aluminium-Zinc alloy (55% aluminiumm 43.4% zinc 1.6% silicon) with COLORBOND (R) steel quality super durable polyster paint coat (with inorganic pigment). The paint shall have a total coating thickness of nominal 35 mm, comprising of nominal 25mmexterior coat on top surface and nominal 10 um reverse coat on back surface. Profile sheet shall have nom. 950-1050 mm effective cover width and nominal 25-30 mm deep ribs with sublet square fluting in the five pan at nominal 180-250 mmcenter-to-center. The end rib shall be designed for anti-capacity groove. &amp; return leg. The feed material should have coil manufacturers product details marked a regular interval. Including fasteners with min. Fastened with min. 25 um Zinc-Tin alloy coated, Hex head, self-drilling screw etc. Complete. (weight of profile 4.52 kg/sqm) 301 mm to 600 mm girth (Surface Width).....(INo38-35 PgNo 303) (STATE SSR ) Item Spec: (As directed by Engineer in charge.)</v>
      </c>
      <c r="D47" s="255">
        <f>Abst.WT!N133</f>
        <v>656.25</v>
      </c>
      <c r="E47" s="256" t="s">
        <v>560</v>
      </c>
      <c r="F47" s="257" t="str">
        <f>Abst.WT!D133</f>
        <v>RMTS</v>
      </c>
      <c r="G47" s="290">
        <f>ROUNDUP(B47*D47,0)</f>
        <v>0</v>
      </c>
      <c r="H47" s="259" t="e">
        <f ca="1">NumberToWord(D47)</f>
        <v>#NAME?</v>
      </c>
      <c r="I47" s="259"/>
    </row>
    <row r="48" spans="1:9" ht="15" customHeight="1">
      <c r="A48" s="254"/>
      <c r="B48" s="255"/>
      <c r="C48" s="278"/>
      <c r="D48" s="255"/>
      <c r="E48" s="256"/>
      <c r="F48" s="257"/>
      <c r="G48" s="290"/>
      <c r="H48" s="259"/>
      <c r="I48" s="259"/>
    </row>
    <row r="49" spans="1:9" ht="114" customHeight="1">
      <c r="A49" s="254">
        <f>Abst.WT!A135</f>
        <v>20</v>
      </c>
      <c r="B49" s="255">
        <f>Abst.WT!C135</f>
        <v>14.399999999999999</v>
      </c>
      <c r="C49" s="278" t="str">
        <f>Abst.WT!B135</f>
        <v xml:space="preserve"> Providing and fixing rolling shutter fabricated from steel laths of minimum thickness 0.9 mm with lock plate of 3.15 mm thickness reinforced with 35 x 35 x 5 mm angie section fitted with Sliding bolts and handles for both sides, deep M. S. channel section of respectively with hold fast arrangements, M.S. Bracket plate 300 x 300 x 3.15 mm minimum size and shape with square bar, suspension shaft of minimum 32 mm diameter, hood cover of M.S. sheet not less than 0.9 mm thickness and of any size at top and safety devices including mechanical gear operation arrangement consisting of worm gear wheels and worms of high grade cast iron or mild steel and one coat of red lead primer etc. complete. (I.S. 6248-1979) (Without mechanical gear)....(INo39-24 , PgNo 318) ( STATE SSR) Item Spec: (Bd.T.55, Page No. 510)</v>
      </c>
      <c r="D49" s="255">
        <f>Abst.WT!N135</f>
        <v>3985.8</v>
      </c>
      <c r="E49" s="256" t="s">
        <v>561</v>
      </c>
      <c r="F49" s="257" t="str">
        <f>Abst.WT!D135</f>
        <v>SqM</v>
      </c>
      <c r="G49" s="290">
        <f>ROUNDUP(B49*D49,0)</f>
        <v>57396</v>
      </c>
      <c r="H49" s="259" t="e">
        <f ca="1">NumberToWord(D49)</f>
        <v>#NAME?</v>
      </c>
      <c r="I49" s="259"/>
    </row>
    <row r="50" spans="1:9" ht="15" customHeight="1">
      <c r="A50" s="254"/>
      <c r="B50" s="255"/>
      <c r="C50" s="278"/>
      <c r="D50" s="255"/>
      <c r="E50" s="256"/>
      <c r="F50" s="257"/>
      <c r="G50" s="290"/>
      <c r="H50" s="259"/>
      <c r="I50" s="259"/>
    </row>
    <row r="51" spans="1:9" ht="96.75" customHeight="1">
      <c r="A51" s="254" t="e">
        <f>Abst.WT!#REF!</f>
        <v>#REF!</v>
      </c>
      <c r="B51" s="255" t="e">
        <f>Abst.WT!#REF!</f>
        <v>#REF!</v>
      </c>
      <c r="C51" s="278" t="e">
        <f>Abst.WT!#REF!</f>
        <v>#REF!</v>
      </c>
      <c r="D51" s="255" t="e">
        <f>Abst.WT!#REF!</f>
        <v>#REF!</v>
      </c>
      <c r="E51" s="256" t="s">
        <v>562</v>
      </c>
      <c r="F51" s="257" t="e">
        <f>Abst.WT!#REF!</f>
        <v>#REF!</v>
      </c>
      <c r="G51" s="290" t="e">
        <f>ROUNDUP(B51*D51,0)</f>
        <v>#REF!</v>
      </c>
      <c r="H51" s="259" t="e">
        <f ca="1">NumberToWord(D51)</f>
        <v>#NAME?</v>
      </c>
      <c r="I51" s="259"/>
    </row>
    <row r="52" spans="1:9" ht="15" customHeight="1">
      <c r="A52" s="254"/>
      <c r="B52" s="255"/>
      <c r="C52" s="278"/>
      <c r="D52" s="255"/>
      <c r="E52" s="256"/>
      <c r="F52" s="257"/>
      <c r="G52" s="290"/>
      <c r="H52" s="259"/>
      <c r="I52" s="259"/>
    </row>
    <row r="53" spans="1:9" ht="81" customHeight="1">
      <c r="A53" s="254" t="e">
        <f>Abst.WT!#REF!</f>
        <v>#REF!</v>
      </c>
      <c r="B53" s="255" t="e">
        <f>Abst.WT!#REF!</f>
        <v>#REF!</v>
      </c>
      <c r="C53" s="278" t="e">
        <f>Abst.WT!#REF!</f>
        <v>#REF!</v>
      </c>
      <c r="D53" s="255" t="e">
        <f>Abst.WT!#REF!</f>
        <v>#REF!</v>
      </c>
      <c r="E53" s="256" t="s">
        <v>563</v>
      </c>
      <c r="F53" s="257" t="e">
        <f>Abst.WT!#REF!</f>
        <v>#REF!</v>
      </c>
      <c r="G53" s="290" t="e">
        <f>ROUNDUP(B53*D53,0)</f>
        <v>#REF!</v>
      </c>
      <c r="H53" s="259" t="e">
        <f ca="1">NumberToWord(D53)</f>
        <v>#NAME?</v>
      </c>
      <c r="I53" s="259"/>
    </row>
    <row r="54" spans="1:9" ht="15" customHeight="1">
      <c r="A54" s="254"/>
      <c r="B54" s="255"/>
      <c r="C54" s="278"/>
      <c r="D54" s="255"/>
      <c r="E54" s="256"/>
      <c r="F54" s="257"/>
      <c r="G54" s="290"/>
      <c r="H54" s="259"/>
      <c r="I54" s="259"/>
    </row>
    <row r="55" spans="1:9" ht="82.5" customHeight="1">
      <c r="A55" s="254" t="e">
        <f>Abst.WT!#REF!</f>
        <v>#REF!</v>
      </c>
      <c r="B55" s="255" t="e">
        <f>Abst.WT!#REF!</f>
        <v>#REF!</v>
      </c>
      <c r="C55" s="278" t="e">
        <f>Abst.WT!#REF!</f>
        <v>#REF!</v>
      </c>
      <c r="D55" s="255" t="e">
        <f>Abst.WT!#REF!</f>
        <v>#REF!</v>
      </c>
      <c r="E55" s="256" t="s">
        <v>564</v>
      </c>
      <c r="F55" s="257" t="e">
        <f>Abst.WT!#REF!</f>
        <v>#REF!</v>
      </c>
      <c r="G55" s="290" t="e">
        <f>ROUNDUP(B55*D55,0)</f>
        <v>#REF!</v>
      </c>
      <c r="H55" s="259" t="e">
        <f ca="1">NumberToWord(D55)</f>
        <v>#NAME?</v>
      </c>
      <c r="I55" s="259"/>
    </row>
    <row r="56" spans="1:9" ht="15" customHeight="1" thickBot="1">
      <c r="A56" s="303"/>
      <c r="B56" s="304"/>
      <c r="C56" s="305"/>
      <c r="D56" s="304"/>
      <c r="E56" s="306"/>
      <c r="F56" s="307"/>
      <c r="G56" s="309"/>
      <c r="H56" s="259"/>
      <c r="I56" s="259"/>
    </row>
    <row r="57" spans="1:9" ht="15" customHeight="1" thickTop="1">
      <c r="A57" s="298"/>
      <c r="B57" s="299" t="s">
        <v>9</v>
      </c>
      <c r="C57" s="300"/>
      <c r="D57" s="299"/>
      <c r="E57" s="301"/>
      <c r="F57" s="302"/>
      <c r="G57" s="310" t="e">
        <f>SUM(G14:G56)</f>
        <v>#REF!</v>
      </c>
      <c r="H57" s="259"/>
      <c r="I57" s="259"/>
    </row>
    <row r="58" spans="1:9" ht="15" customHeight="1">
      <c r="A58" s="254"/>
      <c r="B58" s="255"/>
      <c r="C58" s="279"/>
      <c r="D58" s="255"/>
      <c r="E58" s="256"/>
      <c r="F58" s="257"/>
      <c r="G58" s="258"/>
      <c r="H58" s="259"/>
      <c r="I58" s="259"/>
    </row>
    <row r="59" spans="1:9" ht="15" customHeight="1">
      <c r="A59" s="254"/>
      <c r="B59" s="255"/>
      <c r="C59" s="279" t="str">
        <f>LAB!A3</f>
        <v>SUBWORK  II :- Material Lab Testing charges</v>
      </c>
      <c r="D59" s="255"/>
      <c r="E59" s="256"/>
      <c r="F59" s="257"/>
      <c r="G59" s="258"/>
      <c r="H59" s="259"/>
      <c r="I59" s="259"/>
    </row>
    <row r="60" spans="1:9" ht="15" customHeight="1">
      <c r="A60" s="254"/>
      <c r="B60" s="255"/>
      <c r="C60" s="279"/>
      <c r="D60" s="255"/>
      <c r="E60" s="256"/>
      <c r="F60" s="257"/>
      <c r="G60" s="258"/>
      <c r="H60" s="259"/>
      <c r="I60" s="259"/>
    </row>
    <row r="61" spans="1:9" ht="20.25" customHeight="1">
      <c r="A61" s="254">
        <f>LAB!A9</f>
        <v>1</v>
      </c>
      <c r="B61" s="281"/>
      <c r="C61" s="260" t="str">
        <f>LAB!B9</f>
        <v>Cement</v>
      </c>
      <c r="D61" s="255"/>
      <c r="E61" s="256"/>
      <c r="F61" s="257"/>
      <c r="G61" s="314"/>
      <c r="H61" s="259" t="e">
        <f ca="1">NumberToWord(D61)</f>
        <v>#NAME?</v>
      </c>
      <c r="I61" s="259"/>
    </row>
    <row r="62" spans="1:9" ht="69.75" customHeight="1">
      <c r="A62" s="240"/>
      <c r="B62" s="281">
        <f>LAB!F9</f>
        <v>0</v>
      </c>
      <c r="C62" s="260" t="str">
        <f>LAB!E9</f>
        <v>Fineness,  Standard Consistency, Setting Time (Initial &amp; Final ), Compressive strength, Soundness</v>
      </c>
      <c r="D62" s="255">
        <f>LAB!G9</f>
        <v>3300</v>
      </c>
      <c r="E62" s="256" t="s">
        <v>565</v>
      </c>
      <c r="F62" s="257" t="s">
        <v>544</v>
      </c>
      <c r="G62" s="314">
        <f>D62*B62</f>
        <v>0</v>
      </c>
      <c r="H62" s="259" t="e">
        <f ca="1">NumberToWord(D62)</f>
        <v>#NAME?</v>
      </c>
      <c r="I62" s="259"/>
    </row>
    <row r="63" spans="1:9" ht="15.75" customHeight="1">
      <c r="A63" s="254">
        <f>LAB!A10</f>
        <v>2</v>
      </c>
      <c r="B63" s="281"/>
      <c r="C63" s="260" t="str">
        <f>LAB!B10</f>
        <v>Sand</v>
      </c>
      <c r="D63" s="255"/>
      <c r="E63" s="256"/>
      <c r="F63" s="257"/>
      <c r="G63" s="314"/>
      <c r="H63" s="259"/>
      <c r="I63" s="259"/>
    </row>
    <row r="64" spans="1:9" ht="15.75" customHeight="1">
      <c r="A64" s="254"/>
      <c r="B64" s="280">
        <f>LAB!F10</f>
        <v>1</v>
      </c>
      <c r="C64" s="260" t="str">
        <f>LAB!E10</f>
        <v>Fineness Modulus, silt &amp; clay content.</v>
      </c>
      <c r="D64" s="255">
        <f>LAB!G10</f>
        <v>1200</v>
      </c>
      <c r="E64" s="256"/>
      <c r="F64" s="257"/>
      <c r="G64" s="314">
        <f>D64*B64</f>
        <v>1200</v>
      </c>
      <c r="H64" s="259"/>
      <c r="I64" s="259"/>
    </row>
    <row r="65" spans="1:9" ht="15.75" customHeight="1">
      <c r="A65" s="254"/>
      <c r="B65" s="281"/>
      <c r="C65" s="260"/>
      <c r="D65" s="255"/>
      <c r="E65" s="256"/>
      <c r="F65" s="257"/>
      <c r="G65" s="314"/>
      <c r="H65" s="259"/>
      <c r="I65" s="259"/>
    </row>
    <row r="66" spans="1:9" ht="15.75" customHeight="1">
      <c r="A66" s="254"/>
      <c r="B66" s="255">
        <f>LAB!F11</f>
        <v>1</v>
      </c>
      <c r="C66" s="260" t="str">
        <f>LAB!E11</f>
        <v>Chloride &amp; Sulphate Content.</v>
      </c>
      <c r="D66" s="255">
        <f>LAB!G11</f>
        <v>700</v>
      </c>
      <c r="E66" s="256"/>
      <c r="F66" s="257"/>
      <c r="G66" s="314">
        <f>D66*B66</f>
        <v>700</v>
      </c>
      <c r="H66" s="259"/>
      <c r="I66" s="259"/>
    </row>
    <row r="67" spans="1:9" ht="15.75" customHeight="1">
      <c r="A67" s="254"/>
      <c r="B67" s="281"/>
      <c r="C67" s="260"/>
      <c r="D67" s="255"/>
      <c r="E67" s="256"/>
      <c r="F67" s="257"/>
      <c r="G67" s="314"/>
      <c r="H67" s="259"/>
      <c r="I67" s="259"/>
    </row>
    <row r="68" spans="1:9" ht="15.75" customHeight="1">
      <c r="A68" s="254"/>
      <c r="B68" s="281">
        <f>LAB!F12</f>
        <v>1</v>
      </c>
      <c r="C68" s="288" t="str">
        <f>LAB!E12</f>
        <v>Silt Factor.</v>
      </c>
      <c r="D68" s="255">
        <f>LAB!G12</f>
        <v>750</v>
      </c>
      <c r="E68" s="256"/>
      <c r="F68" s="257"/>
      <c r="G68" s="314">
        <f>D68*B68</f>
        <v>750</v>
      </c>
      <c r="H68" s="259"/>
      <c r="I68" s="259"/>
    </row>
    <row r="69" spans="1:9" ht="15.75" customHeight="1">
      <c r="A69" s="254"/>
      <c r="B69" s="281"/>
      <c r="C69" s="313"/>
      <c r="D69" s="255"/>
      <c r="E69" s="256"/>
      <c r="F69" s="257"/>
      <c r="G69" s="314"/>
      <c r="H69" s="259"/>
      <c r="I69" s="259"/>
    </row>
    <row r="70" spans="1:9" ht="15.75" customHeight="1">
      <c r="A70" s="254"/>
      <c r="B70" s="281"/>
      <c r="C70" s="313"/>
      <c r="D70" s="255"/>
      <c r="E70" s="256"/>
      <c r="F70" s="257"/>
      <c r="G70" s="314"/>
      <c r="H70" s="259"/>
      <c r="I70" s="259"/>
    </row>
    <row r="71" spans="1:9" ht="15.75" customHeight="1">
      <c r="A71" s="254">
        <f>LAB!A14</f>
        <v>3</v>
      </c>
      <c r="B71" s="281"/>
      <c r="C71" s="313" t="str">
        <f>LAB!B14</f>
        <v>Concrete (PCC) M-15 / M-20</v>
      </c>
      <c r="D71" s="255"/>
      <c r="E71" s="256"/>
      <c r="F71" s="257"/>
      <c r="G71" s="314"/>
      <c r="H71" s="259"/>
      <c r="I71" s="259"/>
    </row>
    <row r="72" spans="1:9" ht="15.75" customHeight="1">
      <c r="A72" s="261"/>
      <c r="B72" s="281"/>
      <c r="C72" s="313"/>
      <c r="D72" s="255"/>
      <c r="E72" s="256"/>
      <c r="F72" s="257"/>
      <c r="G72" s="314"/>
      <c r="H72" s="259"/>
      <c r="I72" s="259"/>
    </row>
    <row r="73" spans="1:9" ht="36" customHeight="1">
      <c r="A73" s="261"/>
      <c r="B73" s="281" t="e">
        <f>LAB!F15</f>
        <v>#REF!</v>
      </c>
      <c r="C73" s="313" t="str">
        <f>LAB!E15</f>
        <v xml:space="preserve">ii)Concrete cube compressive strength (Set of 3 Cubes for 7 days &amp; 3 Cubs for 28 days) </v>
      </c>
      <c r="D73" s="255">
        <f>LAB!G15</f>
        <v>1200</v>
      </c>
      <c r="E73" s="256"/>
      <c r="F73" s="257"/>
      <c r="G73" s="314" t="e">
        <f>D73*B73</f>
        <v>#REF!</v>
      </c>
      <c r="H73" s="259"/>
      <c r="I73" s="259"/>
    </row>
    <row r="74" spans="1:9" ht="15.75" customHeight="1">
      <c r="A74" s="261"/>
      <c r="B74" s="281"/>
      <c r="C74" s="313"/>
      <c r="D74" s="255"/>
      <c r="E74" s="256"/>
      <c r="F74" s="257"/>
      <c r="G74" s="314"/>
      <c r="H74" s="259"/>
      <c r="I74" s="259"/>
    </row>
    <row r="75" spans="1:9" ht="15.75" customHeight="1">
      <c r="A75" s="254">
        <f>LAB!A21</f>
        <v>4</v>
      </c>
      <c r="B75" s="281"/>
      <c r="C75" s="313" t="str">
        <f>LAB!B21</f>
        <v>Water</v>
      </c>
      <c r="D75" s="255"/>
      <c r="E75" s="256"/>
      <c r="F75" s="257"/>
      <c r="G75" s="314"/>
      <c r="H75" s="259"/>
      <c r="I75" s="259"/>
    </row>
    <row r="76" spans="1:9" ht="64.5" customHeight="1">
      <c r="A76" s="240"/>
      <c r="B76" s="254">
        <f>LAB!F21</f>
        <v>1</v>
      </c>
      <c r="C76" s="260" t="str">
        <f>LAB!E21</f>
        <v>PH Value, Sulphate &amp; Chloride Content.</v>
      </c>
      <c r="D76" s="255">
        <f>LAB!G21</f>
        <v>1000</v>
      </c>
      <c r="E76" s="256" t="s">
        <v>566</v>
      </c>
      <c r="F76" s="257" t="s">
        <v>598</v>
      </c>
      <c r="G76" s="314">
        <f>D76*B76</f>
        <v>1000</v>
      </c>
      <c r="H76" s="259" t="e">
        <f ca="1">NumberToWord(D76)</f>
        <v>#NAME?</v>
      </c>
      <c r="I76" s="259"/>
    </row>
    <row r="77" spans="1:9" ht="15.75">
      <c r="A77" s="240"/>
      <c r="B77" s="240"/>
      <c r="C77" s="278" t="str">
        <f>LAB!B28</f>
        <v xml:space="preserve">Crushed metal </v>
      </c>
      <c r="D77" s="255"/>
      <c r="E77" s="256"/>
      <c r="F77" s="257"/>
      <c r="G77" s="314"/>
      <c r="H77" s="259"/>
      <c r="I77" s="259"/>
    </row>
    <row r="78" spans="1:9" ht="15.75">
      <c r="A78" s="240"/>
      <c r="B78" s="291">
        <f>LAB!F28</f>
        <v>1</v>
      </c>
      <c r="C78" s="279" t="str">
        <f>LAB!E28</f>
        <v>i)Water Absorption, Specific ravity,Impact Value/Crushing Value.</v>
      </c>
      <c r="D78" s="255">
        <f>LAB!G28</f>
        <v>2300</v>
      </c>
      <c r="E78" s="256"/>
      <c r="F78" s="257"/>
      <c r="G78" s="314">
        <f>D78*B78</f>
        <v>2300</v>
      </c>
      <c r="H78" s="259"/>
      <c r="I78" s="259"/>
    </row>
    <row r="79" spans="1:9" ht="15.75">
      <c r="A79" s="240"/>
      <c r="B79" s="291">
        <f>B78</f>
        <v>1</v>
      </c>
      <c r="C79" s="279" t="str">
        <f>LAB!E29</f>
        <v>ii) Gradation.</v>
      </c>
      <c r="D79" s="255">
        <f>LAB!G29</f>
        <v>600</v>
      </c>
      <c r="E79" s="256"/>
      <c r="F79" s="257"/>
      <c r="G79" s="314">
        <f>D79*B79</f>
        <v>600</v>
      </c>
      <c r="H79" s="259"/>
      <c r="I79" s="259"/>
    </row>
    <row r="80" spans="1:9" ht="15.75">
      <c r="A80" s="240"/>
      <c r="B80" s="291">
        <f>B79</f>
        <v>1</v>
      </c>
      <c r="C80" s="279" t="str">
        <f>LAB!E30</f>
        <v>iii) Flakiness Index.</v>
      </c>
      <c r="D80" s="255">
        <f>LAB!G30</f>
        <v>750</v>
      </c>
      <c r="E80" s="256"/>
      <c r="F80" s="257"/>
      <c r="G80" s="314">
        <f>D80*B80</f>
        <v>750</v>
      </c>
      <c r="H80" s="259"/>
      <c r="I80" s="259"/>
    </row>
    <row r="81" spans="1:9" ht="15.75">
      <c r="A81" s="241">
        <f>LAB!A31</f>
        <v>6</v>
      </c>
      <c r="B81" s="240"/>
      <c r="C81" s="279" t="str">
        <f>LAB!B31</f>
        <v>Steel</v>
      </c>
      <c r="D81" s="255"/>
      <c r="E81" s="256"/>
      <c r="F81" s="257"/>
      <c r="G81" s="314"/>
      <c r="H81" s="259"/>
      <c r="I81" s="259"/>
    </row>
    <row r="82" spans="1:9" ht="31.5">
      <c r="A82" s="240"/>
      <c r="B82" s="281">
        <f>LAB!F32</f>
        <v>0</v>
      </c>
      <c r="C82" s="279" t="str">
        <f>LAB!E31</f>
        <v>Yield stress, ultimate tensile stress, elongation, weight per running meter</v>
      </c>
      <c r="D82" s="255">
        <f>LAB!G31</f>
        <v>1100</v>
      </c>
      <c r="E82" s="256"/>
      <c r="F82" s="257"/>
      <c r="G82" s="314">
        <f>D82*B82</f>
        <v>0</v>
      </c>
      <c r="H82" s="259"/>
      <c r="I82" s="259"/>
    </row>
    <row r="83" spans="1:9" ht="18.75" customHeight="1">
      <c r="A83" s="241">
        <f>LAB!A32</f>
        <v>7</v>
      </c>
      <c r="B83" s="240"/>
      <c r="C83" s="279" t="str">
        <f>LAB!B32</f>
        <v>Masonry stones</v>
      </c>
      <c r="D83" s="255"/>
      <c r="E83" s="256"/>
      <c r="F83" s="257"/>
      <c r="G83" s="314"/>
      <c r="H83" s="259"/>
      <c r="I83" s="259"/>
    </row>
    <row r="84" spans="1:9" ht="31.5">
      <c r="A84" s="240"/>
      <c r="B84" s="281">
        <f>LAB!F32</f>
        <v>0</v>
      </c>
      <c r="C84" s="279" t="str">
        <f>LAB!E32</f>
        <v>Crushing Value/Compressive trength Water Absorption &amp; Specific ravity,</v>
      </c>
      <c r="D84" s="255">
        <f>LAB!G32</f>
        <v>1750</v>
      </c>
      <c r="E84" s="256"/>
      <c r="F84" s="257"/>
      <c r="G84" s="314">
        <f>D84*B84</f>
        <v>0</v>
      </c>
      <c r="H84" s="259"/>
      <c r="I84" s="259"/>
    </row>
    <row r="85" spans="1:9" ht="15.75">
      <c r="A85" s="240">
        <f>LAB!A33</f>
        <v>8</v>
      </c>
      <c r="B85" s="281"/>
      <c r="C85" s="279" t="str">
        <f>LAB!B33</f>
        <v>Bricks</v>
      </c>
      <c r="D85" s="255"/>
      <c r="E85" s="256"/>
      <c r="F85" s="257"/>
      <c r="G85" s="314"/>
      <c r="H85" s="259"/>
      <c r="I85" s="259"/>
    </row>
    <row r="86" spans="1:9" ht="49.5" customHeight="1">
      <c r="A86" s="240"/>
      <c r="B86" s="254">
        <f>LAB!F33</f>
        <v>0</v>
      </c>
      <c r="C86" s="260" t="str">
        <f>LAB!E33</f>
        <v>Water Absorption (Set of 5 Bricks), Compressive Strength( Set of 5  ricks), Efflorescence (Set of 5 Bricks</v>
      </c>
      <c r="D86" s="255">
        <f>LAB!G33</f>
        <v>1900</v>
      </c>
      <c r="E86" s="256" t="s">
        <v>567</v>
      </c>
      <c r="F86" s="257" t="s">
        <v>544</v>
      </c>
      <c r="G86" s="314">
        <f>D86*B86</f>
        <v>0</v>
      </c>
      <c r="H86" s="259" t="e">
        <f ca="1">NumberToWord(D86)</f>
        <v>#NAME?</v>
      </c>
      <c r="I86" s="259"/>
    </row>
    <row r="87" spans="1:9" ht="15" customHeight="1" thickBot="1">
      <c r="A87" s="303"/>
      <c r="B87" s="304"/>
      <c r="C87" s="305"/>
      <c r="D87" s="304"/>
      <c r="E87" s="306"/>
      <c r="F87" s="307"/>
      <c r="G87" s="315"/>
      <c r="H87" s="259"/>
      <c r="I87" s="259"/>
    </row>
    <row r="88" spans="1:9" ht="15" customHeight="1" thickTop="1">
      <c r="A88" s="298"/>
      <c r="B88" s="299" t="s">
        <v>9</v>
      </c>
      <c r="C88" s="300"/>
      <c r="D88" s="299"/>
      <c r="E88" s="301"/>
      <c r="F88" s="302"/>
      <c r="G88" s="316" t="e">
        <f>SUM(G61:G87)</f>
        <v>#REF!</v>
      </c>
      <c r="H88" s="259"/>
      <c r="I88" s="259"/>
    </row>
    <row r="89" spans="1:9" ht="15.75">
      <c r="A89" s="240"/>
      <c r="B89" s="254"/>
      <c r="C89" s="260"/>
      <c r="D89" s="255"/>
      <c r="E89" s="256"/>
      <c r="F89" s="257"/>
      <c r="G89" s="258"/>
      <c r="H89" s="259"/>
      <c r="I89" s="259"/>
    </row>
    <row r="90" spans="1:9" ht="15.75">
      <c r="A90" s="240"/>
      <c r="B90" s="254"/>
      <c r="C90" s="317" t="str">
        <f>ROYALTY!B6</f>
        <v>SUBWORK II :- Royalty Charges</v>
      </c>
      <c r="D90" s="255"/>
      <c r="E90" s="256"/>
      <c r="F90" s="257"/>
      <c r="G90" s="258"/>
      <c r="H90" s="259"/>
      <c r="I90" s="259"/>
    </row>
    <row r="91" spans="1:9" ht="15.75">
      <c r="A91" s="240"/>
      <c r="B91" s="254"/>
      <c r="C91" s="260"/>
      <c r="D91" s="255"/>
      <c r="E91" s="256"/>
      <c r="F91" s="257"/>
      <c r="G91" s="258"/>
      <c r="H91" s="259"/>
      <c r="I91" s="259"/>
    </row>
    <row r="92" spans="1:9" ht="63">
      <c r="A92" s="254">
        <f>ROYALTY!A51</f>
        <v>2</v>
      </c>
      <c r="B92" s="254">
        <f>ROYALTY!C51</f>
        <v>0</v>
      </c>
      <c r="C92" s="260" t="str">
        <f>ROYALTY!B51</f>
        <v>METAL Hand broken</v>
      </c>
      <c r="D92" s="255">
        <f>400/2.83</f>
        <v>141.34275618374559</v>
      </c>
      <c r="E92" s="256" t="s">
        <v>568</v>
      </c>
      <c r="F92" s="257" t="s">
        <v>544</v>
      </c>
      <c r="G92" s="290">
        <f>ROUND(D92*B92,0)</f>
        <v>0</v>
      </c>
      <c r="H92" s="259"/>
      <c r="I92" s="259"/>
    </row>
    <row r="93" spans="1:9" ht="30.75" customHeight="1">
      <c r="A93" s="240"/>
      <c r="B93" s="254">
        <f>ROYALTY!C53</f>
        <v>57.49</v>
      </c>
      <c r="C93" s="260" t="str">
        <f>ROYALTY!B53</f>
        <v xml:space="preserve">MURUM </v>
      </c>
      <c r="D93" s="255">
        <f>D92</f>
        <v>141.34275618374559</v>
      </c>
      <c r="E93" s="240"/>
      <c r="F93" s="240"/>
      <c r="G93" s="290">
        <f>ROUND(D93*B93,0)</f>
        <v>8126</v>
      </c>
      <c r="H93" s="259" t="e">
        <f ca="1">NumberToWord(D93)</f>
        <v>#NAME?</v>
      </c>
      <c r="I93" s="259"/>
    </row>
    <row r="94" spans="1:9" ht="30.75" customHeight="1">
      <c r="A94" s="240"/>
      <c r="B94" s="254" t="str">
        <f>ROYALTY!B55</f>
        <v>RUBBLE</v>
      </c>
      <c r="C94" s="260"/>
      <c r="D94" s="255"/>
      <c r="E94" s="240"/>
      <c r="F94" s="240"/>
      <c r="G94" s="290"/>
      <c r="H94" s="259"/>
      <c r="I94" s="259"/>
    </row>
    <row r="95" spans="1:9" ht="68.25" customHeight="1">
      <c r="A95" s="254">
        <f>LAB!A31</f>
        <v>6</v>
      </c>
      <c r="B95" s="280">
        <f>ROYALTY!C55</f>
        <v>20.399999999999999</v>
      </c>
      <c r="C95" s="260" t="str">
        <f>ROYALTY!B55</f>
        <v>RUBBLE</v>
      </c>
      <c r="D95" s="255">
        <f>D93</f>
        <v>141.34275618374559</v>
      </c>
      <c r="E95" s="256" t="s">
        <v>569</v>
      </c>
      <c r="F95" s="257" t="s">
        <v>544</v>
      </c>
      <c r="G95" s="290">
        <f>ROUND(D95*B95,0)</f>
        <v>2883</v>
      </c>
      <c r="H95" s="259" t="e">
        <f ca="1">NumberToWord(D95)</f>
        <v>#NAME?</v>
      </c>
      <c r="I95" s="259"/>
    </row>
    <row r="96" spans="1:9" ht="32.25" thickBot="1">
      <c r="A96" s="303"/>
      <c r="B96" s="304"/>
      <c r="C96" s="318"/>
      <c r="D96" s="304"/>
      <c r="E96" s="319"/>
      <c r="F96" s="320" t="s">
        <v>570</v>
      </c>
      <c r="G96" s="321">
        <f>SUM(G92:G95)</f>
        <v>11009</v>
      </c>
      <c r="H96" s="259"/>
      <c r="I96" s="259"/>
    </row>
    <row r="97" spans="1:9" ht="40.5" customHeight="1" thickTop="1">
      <c r="A97" s="322"/>
      <c r="B97" s="323"/>
      <c r="C97" s="324"/>
      <c r="D97" s="323"/>
      <c r="E97" s="954" t="s">
        <v>305</v>
      </c>
      <c r="F97" s="955"/>
      <c r="G97" s="325" t="e">
        <f>G96+G88+G57</f>
        <v>#REF!</v>
      </c>
      <c r="H97" s="259" t="e">
        <f ca="1">NumberToWord(G97)</f>
        <v>#NAME?</v>
      </c>
      <c r="I97" s="259"/>
    </row>
    <row r="98" spans="1:9" ht="15" customHeight="1">
      <c r="A98" s="261"/>
      <c r="B98" s="262"/>
      <c r="C98" s="289"/>
      <c r="D98" s="264"/>
      <c r="E98" s="264"/>
      <c r="F98" s="264"/>
      <c r="G98" s="263"/>
      <c r="H98" s="259"/>
      <c r="I98" s="259"/>
    </row>
    <row r="99" spans="1:9" ht="15.75" customHeight="1">
      <c r="A99" s="261"/>
      <c r="B99" s="262"/>
      <c r="C99" s="326" t="s">
        <v>571</v>
      </c>
      <c r="D99" s="265"/>
      <c r="E99" s="265"/>
      <c r="F99" s="265"/>
      <c r="G99" s="263"/>
      <c r="H99" s="259"/>
      <c r="I99" s="259"/>
    </row>
    <row r="100" spans="1:9">
      <c r="A100" s="266"/>
      <c r="B100" s="266"/>
      <c r="C100" s="267"/>
      <c r="D100" s="267"/>
      <c r="E100" s="268"/>
      <c r="F100" s="269"/>
      <c r="G100" s="266"/>
    </row>
    <row r="105" spans="1:9">
      <c r="F105" s="272" t="e">
        <f>103550-#REF!</f>
        <v>#REF!</v>
      </c>
    </row>
  </sheetData>
  <mergeCells count="13">
    <mergeCell ref="E97:F97"/>
    <mergeCell ref="A11:A12"/>
    <mergeCell ref="B11:B12"/>
    <mergeCell ref="C11:C12"/>
    <mergeCell ref="D11:E11"/>
    <mergeCell ref="F11:F12"/>
    <mergeCell ref="G11:G12"/>
    <mergeCell ref="A1:G1"/>
    <mergeCell ref="A2:G2"/>
    <mergeCell ref="A3:G3"/>
    <mergeCell ref="A5:G5"/>
    <mergeCell ref="A7:G7"/>
    <mergeCell ref="A9:G9"/>
  </mergeCells>
  <pageMargins left="0.7" right="0.26" top="0.36" bottom="0.48" header="0.16" footer="0.17"/>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89"/>
  <sheetViews>
    <sheetView workbookViewId="0">
      <selection sqref="A1:N1"/>
    </sheetView>
  </sheetViews>
  <sheetFormatPr defaultRowHeight="12.75"/>
  <cols>
    <col min="1" max="1" width="5.28515625" style="164" customWidth="1"/>
    <col min="2" max="2" width="43" style="164" customWidth="1"/>
    <col min="3" max="3" width="13.28515625" style="167" customWidth="1"/>
    <col min="4" max="4" width="10.5703125" style="167" customWidth="1"/>
    <col min="5" max="5" width="59.85546875" style="164" customWidth="1"/>
    <col min="6" max="16384" width="9.140625" style="164"/>
  </cols>
  <sheetData>
    <row r="1" spans="1:8">
      <c r="A1" s="957" t="s">
        <v>95</v>
      </c>
      <c r="B1" s="957"/>
      <c r="C1" s="957"/>
      <c r="D1" s="957"/>
      <c r="E1" s="957"/>
    </row>
    <row r="2" spans="1:8" ht="15" customHeight="1">
      <c r="A2" s="958" t="s">
        <v>450</v>
      </c>
      <c r="B2" s="958"/>
      <c r="C2" s="958"/>
      <c r="D2" s="958"/>
      <c r="E2" s="958"/>
    </row>
    <row r="3" spans="1:8" ht="15" customHeight="1">
      <c r="A3" s="958" t="s">
        <v>40</v>
      </c>
      <c r="B3" s="958"/>
      <c r="C3" s="958"/>
      <c r="D3" s="958"/>
      <c r="E3" s="958"/>
    </row>
    <row r="4" spans="1:8">
      <c r="A4" s="165"/>
      <c r="B4" s="165"/>
      <c r="C4" s="165"/>
      <c r="D4" s="165"/>
      <c r="E4" s="165"/>
    </row>
    <row r="5" spans="1:8" ht="40.5" customHeight="1">
      <c r="A5" s="165"/>
      <c r="B5" s="959" t="str">
        <f>LAB!A5</f>
        <v>NAME OF WORK : PROPOSED NEW CONSTRUCTON WORK OF STORAGE PACK HOUSE  OF SHREE MAHAGANPATI  AGRO PRODUCER COMPANY LIMITED,     IN GAT  NO.121.  A/P-THANAPUDE   TAL. WALWA, DIST. SANGLI.</v>
      </c>
      <c r="C5" s="959"/>
      <c r="D5" s="959"/>
      <c r="E5" s="959"/>
      <c r="F5" s="166"/>
      <c r="G5" s="166"/>
      <c r="H5" s="166"/>
    </row>
    <row r="6" spans="1:8" ht="15" customHeight="1">
      <c r="A6" s="165"/>
      <c r="B6" s="165"/>
      <c r="C6" s="165"/>
      <c r="D6" s="165"/>
      <c r="E6" s="165"/>
    </row>
    <row r="7" spans="1:8" ht="30.75" customHeight="1">
      <c r="A7" s="960" t="s">
        <v>451</v>
      </c>
      <c r="B7" s="960"/>
      <c r="C7" s="960"/>
      <c r="D7" s="960"/>
      <c r="E7" s="960"/>
    </row>
    <row r="8" spans="1:8" ht="15.75">
      <c r="A8" s="961" t="s">
        <v>452</v>
      </c>
      <c r="B8" s="961"/>
      <c r="C8" s="961"/>
      <c r="D8" s="961"/>
      <c r="E8" s="961"/>
    </row>
    <row r="9" spans="1:8" ht="20.25">
      <c r="A9" s="962" t="s">
        <v>453</v>
      </c>
      <c r="B9" s="962"/>
      <c r="C9" s="962"/>
      <c r="D9" s="962"/>
      <c r="E9" s="962"/>
    </row>
    <row r="11" spans="1:8" ht="96" customHeight="1">
      <c r="A11" s="963" t="s">
        <v>454</v>
      </c>
      <c r="B11" s="964" t="s">
        <v>455</v>
      </c>
      <c r="C11" s="966" t="s">
        <v>456</v>
      </c>
      <c r="D11" s="967"/>
      <c r="E11" s="964" t="s">
        <v>457</v>
      </c>
    </row>
    <row r="12" spans="1:8" ht="31.5">
      <c r="A12" s="963"/>
      <c r="B12" s="965"/>
      <c r="C12" s="168" t="s">
        <v>458</v>
      </c>
      <c r="D12" s="168" t="s">
        <v>459</v>
      </c>
      <c r="E12" s="965"/>
    </row>
    <row r="13" spans="1:8">
      <c r="A13" s="169">
        <v>1</v>
      </c>
      <c r="B13" s="169">
        <v>2</v>
      </c>
      <c r="C13" s="169">
        <v>3</v>
      </c>
      <c r="D13" s="169">
        <v>4</v>
      </c>
      <c r="E13" s="169">
        <v>5</v>
      </c>
      <c r="F13" s="170"/>
    </row>
    <row r="14" spans="1:8" ht="36.75" customHeight="1">
      <c r="A14" s="171"/>
      <c r="B14" s="172"/>
      <c r="C14" s="956"/>
      <c r="D14" s="956"/>
      <c r="E14" s="173"/>
    </row>
    <row r="15" spans="1:8" ht="114" customHeight="1">
      <c r="A15" s="174">
        <v>1</v>
      </c>
      <c r="B15" s="175" t="str">
        <f>'[5]Schedule- B'!C15</f>
        <v>Excavation for side gutters &amp; road formation in earth soil of all type sand gravel &amp; soft murum including dresing section to required grade, camber and side slopes and conveying the excavated materials upto a lead of 50 metres and spreading for embankemnt</v>
      </c>
      <c r="C15" s="176" t="s">
        <v>460</v>
      </c>
      <c r="D15" s="177" t="s">
        <v>461</v>
      </c>
      <c r="E15" s="178" t="s">
        <v>462</v>
      </c>
    </row>
    <row r="16" spans="1:8" ht="97.5" customHeight="1">
      <c r="A16" s="174">
        <v>2</v>
      </c>
      <c r="B16" s="175" t="str">
        <f>'[5]Schedule- B'!C16</f>
        <v>Excavation for side gutters &amp; road formation in hard murum including dresing section to required grade, camber and side slopes and conveying the excavated materials upto a lead of 50 metres and spreading for embankemnt or stacking  etc. complete.</v>
      </c>
      <c r="C16" s="176" t="s">
        <v>460</v>
      </c>
      <c r="D16" s="177" t="s">
        <v>461</v>
      </c>
      <c r="E16" s="178" t="s">
        <v>462</v>
      </c>
    </row>
    <row r="17" spans="1:5" ht="97.5" customHeight="1">
      <c r="A17" s="174">
        <v>3</v>
      </c>
      <c r="B17" s="175" t="str">
        <f>'[5]Schedule- B'!C17</f>
        <v>Excavation for side gutters &amp; road formation in soft rock including dresing section to required grade, camber and side slopes and conveying the excavated materials upto a lead of 50 metres and spreading for embankemnt or stacking etc. complete.</v>
      </c>
      <c r="C17" s="176" t="s">
        <v>460</v>
      </c>
      <c r="D17" s="177" t="s">
        <v>461</v>
      </c>
      <c r="E17" s="178" t="s">
        <v>462</v>
      </c>
    </row>
    <row r="18" spans="1:5" ht="90.75" customHeight="1">
      <c r="A18" s="174">
        <v>4</v>
      </c>
      <c r="B18" s="175" t="str">
        <f>'[5]Schedule- B'!C18</f>
        <v>Supplying hard murum at the road side including conveying &amp; stacking etc. complete.</v>
      </c>
      <c r="C18" s="179" t="s">
        <v>463</v>
      </c>
      <c r="D18" s="179">
        <v>139</v>
      </c>
      <c r="E18" s="179" t="s">
        <v>464</v>
      </c>
    </row>
    <row r="19" spans="1:5" ht="66" customHeight="1">
      <c r="A19" s="174">
        <v>5</v>
      </c>
      <c r="B19" s="175" t="str">
        <f>'[5]Schedule- B'!C19</f>
        <v xml:space="preserve">Spreading gravel / sand/ soft murum/ available  murum over rubble soling / W.B.M surface blanketing berms etc.Cnveying &amp; stacking etc. complete. </v>
      </c>
      <c r="C19" s="179" t="s">
        <v>463</v>
      </c>
      <c r="D19" s="179">
        <v>139</v>
      </c>
      <c r="E19" s="179" t="s">
        <v>465</v>
      </c>
    </row>
    <row r="20" spans="1:5" ht="128.25" customHeight="1">
      <c r="A20" s="174">
        <v>6</v>
      </c>
      <c r="B20" s="175" t="str">
        <f>'[5]Schedule- B'!C20</f>
        <v xml:space="preserve">Construction of granular sub-base by providing close graded Material, mixing in a mechanical mix plant at OMC, carriage of mixed Material to work site, spreading in uniform layers with motor grader/ Paver on prepared surface and compacting with vibratory </v>
      </c>
      <c r="C20" s="179" t="s">
        <v>466</v>
      </c>
      <c r="D20" s="179" t="s">
        <v>467</v>
      </c>
      <c r="E20" s="179" t="s">
        <v>465</v>
      </c>
    </row>
    <row r="21" spans="1:5" ht="160.5" customHeight="1">
      <c r="A21" s="174">
        <v>7</v>
      </c>
      <c r="B21" s="175" t="str">
        <f>'[5]Schedule- B'!C21</f>
        <v>Wet Mix Macadam -- Providing, laying, spreading and compacting graded stone aggregate to wet mix macadam specification including premixing the Material with water at OMC in mechanical mix plant carriage of mixed Material by tipper to site, laying in unifo</v>
      </c>
      <c r="C21" s="179" t="s">
        <v>468</v>
      </c>
      <c r="D21" s="179" t="s">
        <v>467</v>
      </c>
      <c r="E21" s="179" t="s">
        <v>465</v>
      </c>
    </row>
    <row r="22" spans="1:5" ht="60" customHeight="1">
      <c r="A22" s="174">
        <v>8</v>
      </c>
      <c r="B22" s="175" t="str">
        <f>'[5]Schedule- B'!C22</f>
        <v>Compacting  the hard murum side width layer on each side  with power roller including artificial watering etc. complete.</v>
      </c>
      <c r="C22" s="179" t="s">
        <v>469</v>
      </c>
      <c r="D22" s="179">
        <v>142</v>
      </c>
      <c r="E22" s="179" t="s">
        <v>465</v>
      </c>
    </row>
    <row r="23" spans="1:5" ht="253.5" customHeight="1">
      <c r="A23" s="174">
        <v>9</v>
      </c>
      <c r="B23" s="175" t="str">
        <f>'[5]Schedule- B'!C23</f>
        <v>Construction of dry lean cement concrete Sub- base over a prepared sub-grade with coarse and fine aggregate ( natural sand/ VSI grade finely washed crushed sand) conforming to IS: 383, the size of coarse aggregate not exceeding 25 mm, , cement content not</v>
      </c>
      <c r="C23" s="179" t="s">
        <v>470</v>
      </c>
      <c r="D23" s="179" t="s">
        <v>467</v>
      </c>
      <c r="E23" s="179" t="s">
        <v>465</v>
      </c>
    </row>
    <row r="24" spans="1:5" ht="69" customHeight="1">
      <c r="A24" s="174">
        <v>10</v>
      </c>
      <c r="B24" s="175" t="str">
        <f>'[5]Schedule- B'!C24</f>
        <v>Providing and laying 125 microns low density polyethylene (LDPe) sheet confirming to is 3395 : 1997 below concrete pavement including all materials and labour complete.</v>
      </c>
      <c r="C24" s="179" t="s">
        <v>471</v>
      </c>
      <c r="D24" s="179" t="s">
        <v>467</v>
      </c>
      <c r="E24" s="179" t="s">
        <v>465</v>
      </c>
    </row>
    <row r="25" spans="1:5" ht="303" customHeight="1">
      <c r="A25" s="174">
        <v>11</v>
      </c>
      <c r="B25" s="175" t="str">
        <f>'[5]Schedule- B'!C25</f>
        <v>Providing and laying in situ unreinforced plain  cement concrete pavement  of  M 35 grade, over a prepared sub base with 43 grade cement, coarse and fine aggregate conforming to IS 383, maximum size of coarse aggregate not exceeding 25 milimetres, mixed i</v>
      </c>
      <c r="C25" s="179" t="s">
        <v>472</v>
      </c>
      <c r="D25" s="179" t="s">
        <v>467</v>
      </c>
      <c r="E25" s="179" t="s">
        <v>465</v>
      </c>
    </row>
    <row r="26" spans="1:5" ht="60" customHeight="1">
      <c r="A26" s="174">
        <v>12</v>
      </c>
      <c r="B26" s="175" t="str">
        <f>'[5]Schedule- B'!C26</f>
        <v>Providing &amp; fixing R. C. C. 1:2:4 guard stones as per type design including painting numbering fixing in std. Size C. C. 1:4:8 block complete.</v>
      </c>
      <c r="C26" s="179" t="s">
        <v>473</v>
      </c>
      <c r="D26" s="179">
        <v>136</v>
      </c>
      <c r="E26" s="179" t="s">
        <v>465</v>
      </c>
    </row>
    <row r="27" spans="1:5" ht="74.25" customHeight="1">
      <c r="A27" s="174">
        <v>13</v>
      </c>
      <c r="B27" s="180" t="str">
        <f>'[3]Schedule- B .'!C27</f>
        <v>Removing and refixing old available guard stone in warehouse complex  in standard size c.c.1:4:8 bed block etc. complete as directed by Engineer in Charge.</v>
      </c>
      <c r="C27" s="179"/>
      <c r="D27" s="179"/>
      <c r="E27" s="179" t="s">
        <v>465</v>
      </c>
    </row>
    <row r="28" spans="1:5" ht="16.5" customHeight="1">
      <c r="A28" s="174"/>
      <c r="B28" s="181" t="str">
        <f>'[6]Schedule- B RD'!C28</f>
        <v xml:space="preserve">PART  II :- CROSS DRAINAGE WORKS </v>
      </c>
      <c r="C28" s="179"/>
      <c r="D28" s="179"/>
      <c r="E28" s="179" t="s">
        <v>465</v>
      </c>
    </row>
    <row r="29" spans="1:5" ht="147.75" customHeight="1">
      <c r="A29" s="174">
        <v>14</v>
      </c>
      <c r="B29" s="180" t="str">
        <f>'[6]Schedule- B RD'!C29</f>
        <v xml:space="preserve">Excavation for foundation in earth, soil of all types, sand, gravel and soft murum, including removing the excavated material up to a distance of 50 m. beyond the building area and stacking and spreading as directed, dewatering, preparing the bed for the </v>
      </c>
      <c r="C29" s="179" t="s">
        <v>474</v>
      </c>
      <c r="D29" s="179">
        <v>259</v>
      </c>
      <c r="E29" s="179" t="s">
        <v>465</v>
      </c>
    </row>
    <row r="30" spans="1:5" ht="129" customHeight="1">
      <c r="A30" s="174">
        <v>15</v>
      </c>
      <c r="B30" s="180" t="str">
        <f>'[6]Schedule- B RD'!C30</f>
        <v xml:space="preserve"> Excavation for foundation in hard murum including removing the excavated material upto distance of 50 metres beyond the building area and stacking and spreading as directed, dewatering, preparing the bed for the foundation and necessary back filling, ram</v>
      </c>
      <c r="C30" s="179" t="s">
        <v>475</v>
      </c>
      <c r="D30" s="179">
        <v>259</v>
      </c>
      <c r="E30" s="179" t="s">
        <v>465</v>
      </c>
    </row>
    <row r="31" spans="1:5" ht="147.75" customHeight="1">
      <c r="A31" s="174">
        <v>16</v>
      </c>
      <c r="B31" s="180" t="str">
        <f>'[6]Schedule- B RD'!C31</f>
        <v xml:space="preserve"> Excavation for foundation in hard murum and boulders including removing the excavated material up to a distance 50 metres, beyond the building area and stacking and spreading as directed, dewatering,preparing the bed for the foundation and necessary back</v>
      </c>
      <c r="C31" s="179" t="s">
        <v>476</v>
      </c>
      <c r="D31" s="179">
        <v>259</v>
      </c>
      <c r="E31" s="179" t="s">
        <v>477</v>
      </c>
    </row>
    <row r="32" spans="1:5" ht="52.5" customHeight="1">
      <c r="A32" s="174">
        <v>17</v>
      </c>
      <c r="B32" s="180" t="str">
        <f>'[6]Schedule- B RD'!C33</f>
        <v>Providing soling using 80 mm size trap metal in 15 cm. layer including filling voids with Crushed sand/grit, ramming, watering etc. complete.</v>
      </c>
      <c r="C32" s="179" t="s">
        <v>478</v>
      </c>
      <c r="D32" s="179">
        <v>287</v>
      </c>
      <c r="E32" s="179" t="s">
        <v>465</v>
      </c>
    </row>
    <row r="33" spans="1:5" ht="144.75" customHeight="1">
      <c r="A33" s="174">
        <v>18</v>
      </c>
      <c r="B33" s="180" t="str">
        <f>'[6]Schedule- B RD'!C34</f>
        <v xml:space="preserve"> Providing and laying Cast in situ/Ready Mix cement concrete in M-10 of trap/ granite/ quartzite/ gneiss metal for foundation and bedding including bailing out water, Steel centering, formwork, laying/pumping, compacting, roughening them if special finish</v>
      </c>
      <c r="C33" s="179" t="s">
        <v>479</v>
      </c>
      <c r="D33" s="179">
        <v>329</v>
      </c>
      <c r="E33" s="179" t="s">
        <v>465</v>
      </c>
    </row>
    <row r="34" spans="1:5" ht="142.5" customHeight="1">
      <c r="A34" s="174">
        <v>19</v>
      </c>
      <c r="B34" s="180" t="str">
        <f>'[6]Schedule- B RD'!C35</f>
        <v>Providing uncoursed rubble masonry of trap / granite / quartzite / gneiss stones in cement mortar 1:6 in foundation and plinth of inner walls / in plinth of external walls including bailing out water manually , striking joints on un exposed faces and wate</v>
      </c>
      <c r="C34" s="179" t="s">
        <v>480</v>
      </c>
      <c r="D34" s="179">
        <v>329</v>
      </c>
      <c r="E34" s="179" t="s">
        <v>465</v>
      </c>
    </row>
    <row r="35" spans="1:5" s="183" customFormat="1" ht="150.75" customHeight="1">
      <c r="A35" s="174">
        <v>20</v>
      </c>
      <c r="B35" s="182" t="str">
        <f>'[5]Schedule- B'!C27</f>
        <v>Providing &amp; fixing in position  TMT / HYSD steel  reinforcement of various diameters for R.C.C.pile caps,  footings, foundation, slabs,beams and columns, canopies, staircases, newels, chajjas, lintels, pardies, coping, fins, arches etc. as per detailed de</v>
      </c>
      <c r="C35" s="176" t="s">
        <v>481</v>
      </c>
      <c r="D35" s="176">
        <v>306</v>
      </c>
      <c r="E35" s="179" t="s">
        <v>482</v>
      </c>
    </row>
    <row r="36" spans="1:5" ht="301.5" customHeight="1">
      <c r="A36" s="174">
        <v>21</v>
      </c>
      <c r="B36" s="175" t="str">
        <f>'[5]Schedule- B'!C28</f>
        <v>Providing and laying Cast in situ/Ready Mix cement concrete M-35 of trap / granite /quartzite/ gneiss metal for R.C.C. work in foundations like raft, strip foundations, grillage and footings of R.C.C. columns and steel stanchions etc. columns as per detai</v>
      </c>
      <c r="C36" s="176" t="s">
        <v>483</v>
      </c>
      <c r="D36" s="176" t="s">
        <v>484</v>
      </c>
      <c r="E36" s="178" t="s">
        <v>485</v>
      </c>
    </row>
    <row r="37" spans="1:5" ht="289.5" customHeight="1">
      <c r="A37" s="174">
        <v>22</v>
      </c>
      <c r="B37" s="175" t="str">
        <f>'[5]Schedule- B'!C29</f>
        <v xml:space="preserve">Providing and laying Cast in situ/Ready Mixcement concrete M-35 of trap / granite /quartzite/ gneiss metal for R.C.C. beams and lintels as per detailed designs and drawings or as directed including steel centering, formwork, cover blocks, laying/pumping, </v>
      </c>
      <c r="C37" s="179" t="s">
        <v>486</v>
      </c>
      <c r="D37" s="167" t="s">
        <v>487</v>
      </c>
      <c r="E37" s="178" t="s">
        <v>488</v>
      </c>
    </row>
    <row r="38" spans="1:5" ht="231" customHeight="1">
      <c r="A38" s="174">
        <v>23</v>
      </c>
      <c r="B38" s="175" t="str">
        <f>'[5]Schedule- B'!C30</f>
        <v>Providing and laying Cast in situ/Ready Mix cement concrete M-35 of trap/ granite / quartzite/ gneiss metal for R.C.C. slabs and landings as per detailed designs and drawings including steel centering, formwork, cover blocks, laying/pumping, compaction fi</v>
      </c>
      <c r="C38" s="179" t="s">
        <v>489</v>
      </c>
      <c r="D38" s="167" t="s">
        <v>490</v>
      </c>
      <c r="E38" s="184" t="s">
        <v>491</v>
      </c>
    </row>
    <row r="39" spans="1:5" ht="152.25" customHeight="1">
      <c r="A39" s="174">
        <v>24</v>
      </c>
      <c r="B39" s="175" t="str">
        <f>'[5]Schedule- B'!C31</f>
        <v>Providing internal cement plaster 20mm thick in two coats in cement mortar 1:4 without neeru finish, to concrete, brick surface, in all positions including scaffolding and curing etc.complete. And Providing fine cement finish 1.5 mm thick over green plast</v>
      </c>
      <c r="C39" s="179" t="s">
        <v>492</v>
      </c>
      <c r="D39" s="179">
        <v>368</v>
      </c>
      <c r="E39" s="179" t="s">
        <v>493</v>
      </c>
    </row>
    <row r="40" spans="1:5" ht="152.25" customHeight="1">
      <c r="A40" s="174">
        <v>25</v>
      </c>
      <c r="B40" s="175" t="str">
        <f>'[5]Schedule- B'!C32</f>
        <v>Providing earth work in embankment with approved materials obtained from departmental land upto lead of 50m. including all lifts, laying in layers of 20cm. to 30cm. thickness breaking clods, dressing to the required lines, curves, grades &amp; section, wateri</v>
      </c>
      <c r="C40" s="179" t="s">
        <v>494</v>
      </c>
      <c r="D40" s="179" t="s">
        <v>467</v>
      </c>
      <c r="E40" s="179" t="s">
        <v>495</v>
      </c>
    </row>
    <row r="41" spans="1:5" ht="165" customHeight="1">
      <c r="A41" s="174">
        <v>26</v>
      </c>
      <c r="B41" s="180" t="str">
        <f>'[3]Schedule- B .'!C41</f>
        <v xml:space="preserve"> Providing earth work in embankment with approved materials obtained from other sources  including all leads &amp; lifts, laying in layers of 20cm. to 30cm. thickness breaking clods, dressing to the required lines, curves, grades &amp; section, watering and compa</v>
      </c>
      <c r="C41" s="179" t="s">
        <v>494</v>
      </c>
      <c r="D41" s="179" t="s">
        <v>467</v>
      </c>
      <c r="E41" s="179" t="s">
        <v>495</v>
      </c>
    </row>
    <row r="42" spans="1:5" ht="134.25" customHeight="1">
      <c r="A42" s="174">
        <v>27</v>
      </c>
      <c r="B42" s="180" t="str">
        <f>'[3]Schedule- B .'!C42</f>
        <v>Conveying materials obtained from road cutting including all lifts, laying in layers of 20cm to 30cm. breaking clods, dressing to the required lines, curves, grades and section, watering and compacting to not less than 100% of standard Proctor density for</v>
      </c>
      <c r="C42" s="179" t="s">
        <v>496</v>
      </c>
      <c r="D42" s="179">
        <v>197</v>
      </c>
      <c r="E42" s="179" t="s">
        <v>495</v>
      </c>
    </row>
    <row r="43" spans="1:5" ht="117" customHeight="1">
      <c r="A43" s="174">
        <v>28</v>
      </c>
      <c r="B43" s="180" t="str">
        <f>'[3]Schedule- B .'!C43</f>
        <v xml:space="preserve">Conveying the materials obtained from excavation including laying in layers, breaking clods, dressing to the required lines, curves, grades and section for all leads &amp; lifts from the site of excavation to the site of deposition  outside the complex as by </v>
      </c>
      <c r="C43" s="179" t="s">
        <v>496</v>
      </c>
      <c r="D43" s="179">
        <v>197</v>
      </c>
      <c r="E43" s="179" t="s">
        <v>495</v>
      </c>
    </row>
    <row r="44" spans="1:5" ht="94.5">
      <c r="A44" s="174">
        <v>29</v>
      </c>
      <c r="B44" s="175" t="str">
        <f>'[5]Schedule- B'!C36</f>
        <v>Providing  &amp; laying cement concrete pipe of I .S. 458 / 2003 NP 3 class of 600 milimetre diameter. In proper line, level &amp; slope including providing, fixing collars or spigot &amp; cocket joint by rubber ring &amp; in Cement  Morter 1:2 etc. complete.</v>
      </c>
      <c r="C44" s="179" t="s">
        <v>497</v>
      </c>
      <c r="D44" s="179">
        <v>162</v>
      </c>
      <c r="E44" s="179" t="s">
        <v>495</v>
      </c>
    </row>
    <row r="45" spans="1:5" ht="94.5">
      <c r="A45" s="174">
        <v>30</v>
      </c>
      <c r="B45" s="175" t="str">
        <f>'[5]Schedule- B'!C37</f>
        <v>Cutting transverse contraction joints 3 to 4 mm wide and depth 60mm. .in concrete slab using concrete cutting machine with diamond studded saw within 48 hours of casting of bay / slab etc. complete including subsequent widening of the groove 8 to 10 mm. w</v>
      </c>
      <c r="C45" s="179" t="s">
        <v>471</v>
      </c>
      <c r="D45" s="179" t="s">
        <v>467</v>
      </c>
      <c r="E45" s="179" t="s">
        <v>495</v>
      </c>
    </row>
    <row r="46" spans="1:5" ht="94.5">
      <c r="A46" s="174">
        <v>31</v>
      </c>
      <c r="B46" s="175" t="str">
        <f>'[5]Schedule- B'!C38</f>
        <v xml:space="preserve">Providing to contraction joints polysuphide sealent (Pouring grade) confirming to BS : 5212 - 1989 into sawed groove widened at top for sealent reservoir of specified size and shape as per detailed drawing including fixing Polyethylene foam backer rod of </v>
      </c>
      <c r="C46" s="179" t="s">
        <v>471</v>
      </c>
      <c r="D46" s="179" t="s">
        <v>467</v>
      </c>
      <c r="E46" s="179" t="s">
        <v>495</v>
      </c>
    </row>
    <row r="47" spans="1:5" ht="56.25" customHeight="1">
      <c r="A47" s="174">
        <v>32</v>
      </c>
      <c r="B47" s="175" t="str">
        <f>'[5]Schedule- B'!C39</f>
        <v>Supplying &amp;erecting G.I. pipe ‘A’ class 75 mm dia. Erected for enclosing PVC armoured cable on wall/pole as per specification No. CB-CE</v>
      </c>
      <c r="C47" s="185" t="s">
        <v>461</v>
      </c>
      <c r="D47" s="186" t="s">
        <v>461</v>
      </c>
      <c r="E47" s="187" t="s">
        <v>495</v>
      </c>
    </row>
    <row r="48" spans="1:5" ht="174" customHeight="1">
      <c r="A48" s="174">
        <v>33</v>
      </c>
      <c r="B48" s="180" t="str">
        <f>'[6]Schedule- B RD'!C49</f>
        <v xml:space="preserve">Providing and fixing in position TMT FE 500, tie bars bars precoated with anticorrosive epoxy paint of 12 mm Dia. 70 cms. Long spacing @ 30.00 cm. C/C at cross side of 4.00 m interval along length and 60 cms long spacing @30 cms along length side whrever </v>
      </c>
      <c r="C48" s="179" t="s">
        <v>471</v>
      </c>
      <c r="D48" s="179" t="s">
        <v>467</v>
      </c>
      <c r="E48" s="179" t="s">
        <v>465</v>
      </c>
    </row>
    <row r="49" spans="1:5" ht="229.5" customHeight="1">
      <c r="A49" s="174">
        <v>34</v>
      </c>
      <c r="B49" s="180" t="str">
        <f>'[6]Schedule- B RD'!C50</f>
        <v>Providing and laying Cast in situ / Ready Mix cement concrete in M 15 oftrap /granite / quartzite / gneiss metal for steps including steel centering, formwork, laying/pumping, compacting, roughening them if special finish is to be provided, finishing unev</v>
      </c>
      <c r="C49" s="179" t="s">
        <v>498</v>
      </c>
      <c r="D49" s="179" t="s">
        <v>499</v>
      </c>
      <c r="E49" s="179" t="s">
        <v>465</v>
      </c>
    </row>
    <row r="50" spans="1:5" ht="150" customHeight="1">
      <c r="A50" s="174">
        <v>35</v>
      </c>
      <c r="B50" s="180" t="str">
        <f>'[3]Schedule- B .'!C50</f>
        <v>Providing second class Burnt Brick masonry with conventional/ I.S. type bricks in cement mortar 1:6 in foundations and plinth of inner walls/ in plinth external walls including bailing out water manually , striking joints on unexposed faces, raking out jo</v>
      </c>
      <c r="C50" s="179" t="s">
        <v>500</v>
      </c>
      <c r="D50" s="179">
        <v>313</v>
      </c>
      <c r="E50" s="179" t="s">
        <v>465</v>
      </c>
    </row>
    <row r="51" spans="1:5" ht="100.5" customHeight="1">
      <c r="A51" s="174">
        <v>36</v>
      </c>
      <c r="B51" s="180" t="str">
        <f>'[6]Schedule- B RD'!C51</f>
        <v>Providing internal cement plaster 20mm thick in two coats in cement mortar 1:4 with cement slurry finish, to concrete, brick surface, in all positions including scaffolding and curing etc.complete.  With fine aggregate (Natural Sand / Crushed sand VSI Gra</v>
      </c>
      <c r="C51" s="179" t="s">
        <v>501</v>
      </c>
      <c r="D51" s="179">
        <v>368</v>
      </c>
      <c r="E51" s="179" t="s">
        <v>465</v>
      </c>
    </row>
    <row r="52" spans="1:5" s="183" customFormat="1" ht="171.75" customHeight="1">
      <c r="A52" s="174">
        <v>37</v>
      </c>
      <c r="B52" s="188" t="str">
        <f>'[6]Schedule- B RD'!C52</f>
        <v>Providing and laying Cast in situ/Ready Mix cement concrete in M-20of trap/ granite/ quartzite/ gneiss metal for R.C.C. pardi of required thickness including steel centering, formwork, cover blocks,laying/pumping, compacting , curing , finishing and rough</v>
      </c>
      <c r="C52" s="179" t="s">
        <v>502</v>
      </c>
      <c r="D52" s="179" t="s">
        <v>503</v>
      </c>
      <c r="E52" s="179" t="s">
        <v>465</v>
      </c>
    </row>
    <row r="53" spans="1:5" s="183" customFormat="1" ht="57" customHeight="1">
      <c r="A53" s="174">
        <v>38</v>
      </c>
      <c r="B53" s="188" t="str">
        <f>'[3]Schedule- B .'!C53</f>
        <v>Providing selected hard murum filling including laying in layers of 15 to 20cmwith watering and compacting etc. complete.</v>
      </c>
      <c r="C53" s="179" t="s">
        <v>504</v>
      </c>
      <c r="D53" s="179">
        <v>167</v>
      </c>
      <c r="E53" s="179" t="s">
        <v>465</v>
      </c>
    </row>
    <row r="54" spans="1:5" ht="15.75">
      <c r="A54" s="189"/>
      <c r="B54" s="190"/>
      <c r="C54" s="191"/>
      <c r="D54" s="192"/>
      <c r="E54" s="193"/>
    </row>
    <row r="55" spans="1:5" ht="15.75">
      <c r="A55" s="189"/>
      <c r="B55" s="190"/>
      <c r="C55" s="191"/>
      <c r="D55" s="192"/>
      <c r="E55" s="193"/>
    </row>
    <row r="56" spans="1:5" ht="15.75">
      <c r="A56" s="189"/>
      <c r="B56" s="190"/>
      <c r="C56" s="191"/>
      <c r="D56" s="192"/>
      <c r="E56" s="193"/>
    </row>
    <row r="57" spans="1:5" ht="15" customHeight="1">
      <c r="A57" s="194"/>
      <c r="B57" s="195" t="str">
        <f>'[3]She. B Abstract RD'!B13</f>
        <v>SUBWORK  II -  Appron &amp; Gutter</v>
      </c>
      <c r="C57" s="196"/>
      <c r="D57" s="197"/>
      <c r="E57" s="198"/>
    </row>
    <row r="58" spans="1:5" ht="56.25" customHeight="1">
      <c r="A58" s="174">
        <v>1</v>
      </c>
      <c r="B58" s="199" t="str">
        <f>'[5]Schedule- B'!C51</f>
        <v xml:space="preserve">Dismentling brick masonry in lime or cement Mortor and stacking the materials as directed with all leads, lifts etc. complete   </v>
      </c>
      <c r="C58" s="176" t="s">
        <v>505</v>
      </c>
      <c r="D58" s="176">
        <v>587</v>
      </c>
      <c r="E58" s="200" t="s">
        <v>465</v>
      </c>
    </row>
    <row r="59" spans="1:5" ht="55.5" customHeight="1">
      <c r="A59" s="174">
        <v>2</v>
      </c>
      <c r="B59" s="199" t="str">
        <f>'[5]Schedule- B'!C52</f>
        <v xml:space="preserve">Dismentling stone masonry in lime or cement Mortor including  stacking the materials as directed with all leads, lifts etc. complete </v>
      </c>
      <c r="C59" s="176" t="s">
        <v>505</v>
      </c>
      <c r="D59" s="176">
        <v>587</v>
      </c>
      <c r="E59" s="200" t="s">
        <v>465</v>
      </c>
    </row>
    <row r="60" spans="1:5" ht="58.5" customHeight="1">
      <c r="A60" s="174">
        <v>3</v>
      </c>
      <c r="B60" s="199" t="str">
        <f>'[5]Schedule- B'!C53</f>
        <v xml:space="preserve">Removing the lime or lean cement concrete including stacking the spoils as directed with all leads, lifts etc. complete. </v>
      </c>
      <c r="C60" s="176" t="s">
        <v>505</v>
      </c>
      <c r="D60" s="176">
        <v>587</v>
      </c>
      <c r="E60" s="200" t="s">
        <v>465</v>
      </c>
    </row>
    <row r="61" spans="1:5" ht="153.75" customHeight="1">
      <c r="A61" s="174">
        <v>4</v>
      </c>
      <c r="B61" s="199" t="str">
        <f>'[5]Schedule- B'!C54</f>
        <v>Excavation for foundation in earth, soil of all types sand, gravel, and soft murum for depth up to 1.5 metres including removing the excavated materials upto a distance of 50 metres beyond the building area and stacking or spreading as directed, preparing</v>
      </c>
      <c r="C61" s="176" t="s">
        <v>506</v>
      </c>
      <c r="D61" s="201">
        <v>259</v>
      </c>
      <c r="E61" s="200" t="s">
        <v>507</v>
      </c>
    </row>
    <row r="62" spans="1:5" ht="138" customHeight="1">
      <c r="A62" s="174">
        <v>5</v>
      </c>
      <c r="B62" s="199" t="str">
        <f>'[5]Schedule- B'!C55</f>
        <v>Excavation for foundation in hard murum for depth up to 1.5 metres including removing the excavated materials upto a distance of 50 metres beyond the building area and stacking or spreading as directed, preparing the bed for the foundation and necessary b</v>
      </c>
      <c r="C62" s="176" t="s">
        <v>508</v>
      </c>
      <c r="D62" s="201">
        <v>259</v>
      </c>
      <c r="E62" s="200" t="s">
        <v>509</v>
      </c>
    </row>
    <row r="63" spans="1:5" ht="138" customHeight="1">
      <c r="A63" s="174">
        <v>6</v>
      </c>
      <c r="B63" s="199" t="str">
        <f>'[5]Schedule- B'!C56</f>
        <v>Excavation for foundation in Hard Murum &amp; boulder for depth to 1.5 metres including removing the excavated stuff upto a distance of 50 metres beyond the building area all lifts stacking or spreading as directed, dewatering, shoring, strutting if necessary</v>
      </c>
      <c r="C63" s="176" t="s">
        <v>510</v>
      </c>
      <c r="D63" s="201">
        <v>259</v>
      </c>
      <c r="E63" s="200" t="s">
        <v>509</v>
      </c>
    </row>
    <row r="64" spans="1:5" ht="60" customHeight="1">
      <c r="A64" s="174">
        <v>7</v>
      </c>
      <c r="B64" s="199" t="str">
        <f>'[5]Schedule- B'!C57</f>
        <v>Providing soling using 80 mm size trap metal in 15 cm. layer including filling voids with Crushed sand/grit,  ramming, watering etc. complete.</v>
      </c>
      <c r="C64" s="176" t="s">
        <v>511</v>
      </c>
      <c r="D64" s="201" t="s">
        <v>467</v>
      </c>
      <c r="E64" s="200" t="s">
        <v>465</v>
      </c>
    </row>
    <row r="65" spans="1:5" ht="150.75" customHeight="1">
      <c r="A65" s="174">
        <v>8</v>
      </c>
      <c r="B65" s="199" t="str">
        <f>'[5]Schedule- B'!C58</f>
        <v xml:space="preserve"> Providing and laying Cast in situ/Ready Mix cement concrete in M-10 of trap/ granite/ quartzite/ gneiss metal for foundation and bedding including bailing out water, Steel centering, formwork, laying/pumping, compacting, roughening them if special finish</v>
      </c>
      <c r="C65" s="176" t="s">
        <v>512</v>
      </c>
      <c r="D65" s="176">
        <v>287</v>
      </c>
      <c r="E65" s="200" t="s">
        <v>513</v>
      </c>
    </row>
    <row r="66" spans="1:5" ht="136.5" customHeight="1">
      <c r="A66" s="174">
        <v>9</v>
      </c>
      <c r="B66" s="199" t="str">
        <f>'[3]Sheet 1 DSR '!B240</f>
        <v>Providing uncoursed rubble masonry of trap / granite / quartzite / gneiss stones in cement mortar 1:6 in foundation and plinth of inner walls / in plinth of external walls including bailing out water manually , striking joints on un exposed faces and wate</v>
      </c>
      <c r="C66" s="176" t="s">
        <v>514</v>
      </c>
      <c r="D66" s="176">
        <v>329</v>
      </c>
      <c r="E66" s="200" t="s">
        <v>515</v>
      </c>
    </row>
    <row r="67" spans="1:5" ht="150.75" customHeight="1">
      <c r="A67" s="174">
        <v>10</v>
      </c>
      <c r="B67" s="199" t="str">
        <f>'[3]Sheet 1 DSR '!B242</f>
        <v>Providing uncoursed rubble masonry of trap / granite / quartzite / gneiss stones in cement mortar 1:6 in foundation and plinth of inner walls / in plinth of external walls including bailing out water manually , striking joints on un exposed faces and wate</v>
      </c>
      <c r="C67" s="176" t="s">
        <v>514</v>
      </c>
      <c r="D67" s="176">
        <v>329</v>
      </c>
      <c r="E67" s="200" t="s">
        <v>515</v>
      </c>
    </row>
    <row r="68" spans="1:5" ht="251.25" customHeight="1">
      <c r="A68" s="174">
        <v>11</v>
      </c>
      <c r="B68" s="199" t="str">
        <f>'[3]Sheet 1 DSR '!B244</f>
        <v>Providing second class Burnt Brick masonry with conventional/ I.S. type bricks in cement mortar 1:6 in foundations and plinth of inner walls/ in plinth external walls including bailing out water manually , striking joints on unexposed faces, raking out jo</v>
      </c>
      <c r="C68" s="176" t="s">
        <v>516</v>
      </c>
      <c r="D68" s="176">
        <v>313</v>
      </c>
      <c r="E68" s="200" t="s">
        <v>517</v>
      </c>
    </row>
    <row r="69" spans="1:5" ht="117" customHeight="1">
      <c r="A69" s="174">
        <v>12</v>
      </c>
      <c r="B69" s="199" t="str">
        <f>'[3]Sheet 1 DSR '!B246</f>
        <v>Providing internal cement plaster 20mm thick in two coats in cement mortar 1:4 with cement slurry finish, to concrete, brick surface, in all positions including scaffolding and curing etc.complete.  With fine aggregate (Natural Sand / Crushed sand VSI Gra</v>
      </c>
      <c r="C69" s="179" t="s">
        <v>518</v>
      </c>
      <c r="D69" s="179">
        <v>368</v>
      </c>
      <c r="E69" s="179" t="s">
        <v>519</v>
      </c>
    </row>
    <row r="70" spans="1:5" ht="73.5" customHeight="1">
      <c r="A70" s="174">
        <v>13</v>
      </c>
      <c r="B70" s="199" t="str">
        <f>'[5]Schedule- B'!C62</f>
        <v xml:space="preserve">Providing Hard Murum cohesive non-swelling materials in plinth in layers of 20 cms etc. complete as directed. [ Only compacted thickness is payable </v>
      </c>
      <c r="C70" s="179" t="s">
        <v>520</v>
      </c>
      <c r="D70" s="179">
        <v>263</v>
      </c>
      <c r="E70" s="179" t="s">
        <v>521</v>
      </c>
    </row>
    <row r="71" spans="1:5" ht="72" customHeight="1">
      <c r="A71" s="174">
        <v>14</v>
      </c>
      <c r="B71" s="199" t="str">
        <f>'[5]Schedule- B'!C63</f>
        <v xml:space="preserve">Filling in plinth and floors with approved excavated materials in 15 centi metres To 20 centi metres layers including watering and compaction complete. </v>
      </c>
      <c r="C71" s="179" t="s">
        <v>520</v>
      </c>
      <c r="D71" s="179">
        <v>263</v>
      </c>
      <c r="E71" s="179" t="s">
        <v>521</v>
      </c>
    </row>
    <row r="72" spans="1:5" ht="95.25" customHeight="1">
      <c r="A72" s="174">
        <v>15</v>
      </c>
      <c r="B72" s="199" t="str">
        <f>'[5]Schedule- B'!C64</f>
        <v>Providing &amp; laying stone metal layer of 20 centi metres thickness with 60 mili metres over size metal 65% and 40 mili metres size metal 35% with sand or stone chips spreading &amp; leveling handpacking complete.</v>
      </c>
      <c r="C72" s="177" t="s">
        <v>467</v>
      </c>
      <c r="D72" s="177" t="s">
        <v>467</v>
      </c>
      <c r="E72" s="200" t="s">
        <v>465</v>
      </c>
    </row>
    <row r="73" spans="1:5" ht="263.25" customHeight="1">
      <c r="A73" s="174">
        <v>16</v>
      </c>
      <c r="B73" s="199" t="str">
        <f>'[6]Schedule- B RD'!C70</f>
        <v>Providing and laying Cast in situ/Ready Mix cement concrete M-15 of trap/ granite/quartzite/gneiss metal for coping to plinth or parapet, moulded or chamfered as per drawing or as directed including steelcentering, plywood/ steel formwork compacting, roug</v>
      </c>
      <c r="C73" s="176" t="s">
        <v>522</v>
      </c>
      <c r="D73" s="176">
        <v>288</v>
      </c>
      <c r="E73" s="200" t="s">
        <v>465</v>
      </c>
    </row>
    <row r="74" spans="1:5" ht="302.25" customHeight="1">
      <c r="A74" s="174">
        <v>17</v>
      </c>
      <c r="B74" s="199" t="str">
        <f>'[3]Sheet 1 DSR '!B256</f>
        <v>Providing and laying Cast in situ/Ready Mix cement concrete M-20 of trap / granite /quartzite/ gneiss metal for R.C.C. beams and lintels as per detailed designs and drawings or as directed including centering, formwork, cover blocks, laying/pumping, compa</v>
      </c>
      <c r="C74" s="202" t="s">
        <v>523</v>
      </c>
      <c r="D74" s="202" t="s">
        <v>524</v>
      </c>
      <c r="E74" s="203" t="s">
        <v>525</v>
      </c>
    </row>
    <row r="75" spans="1:5" ht="150.75" customHeight="1">
      <c r="A75" s="174">
        <v>18</v>
      </c>
      <c r="B75" s="199" t="str">
        <f>'[3]Sheet 1 DSR '!B258</f>
        <v>Providing and fixing in position TMT - FE - 500 bar reinforcement of various diameters for R.C.C. pile caps, footings, foundations, slabs, beams columns, canopies, staircase, newels, chajjas, lintels pardis,copings, fins, arches etc. as per detailed desig</v>
      </c>
      <c r="C75" s="202" t="s">
        <v>481</v>
      </c>
      <c r="D75" s="202">
        <v>306</v>
      </c>
      <c r="E75" s="204" t="s">
        <v>526</v>
      </c>
    </row>
    <row r="76" spans="1:5" ht="108.75" customHeight="1">
      <c r="A76" s="174">
        <v>19</v>
      </c>
      <c r="B76" s="199" t="str">
        <f>'[3]Sheet 1 DSR '!B260</f>
        <v xml:space="preserve">Scrapping and providing &amp; applying oilpainting in three coats of approved colour &amp; shade to flooring for marking stacklines including preparing the surfaces &amp; primer coat etc. complete. ( Sample and brand is to be got approved)  </v>
      </c>
      <c r="C76" s="202" t="s">
        <v>527</v>
      </c>
      <c r="D76" s="202">
        <v>406</v>
      </c>
      <c r="E76" s="205" t="s">
        <v>528</v>
      </c>
    </row>
    <row r="77" spans="1:5" ht="133.5" customHeight="1">
      <c r="A77" s="174">
        <v>20</v>
      </c>
      <c r="B77" s="199" t="str">
        <f>'[3]Sheet 1 DSR '!B262</f>
        <v xml:space="preserve"> Conveying materials obtained from road cutting including all lifts, laying in layers of 20cm to 30cm. breaking clods, dressing to the required lines, curves, grades and section, watering and compacting to not less than 100% of standard Proctor density fo</v>
      </c>
      <c r="C77" s="179" t="s">
        <v>496</v>
      </c>
      <c r="D77" s="179">
        <v>197</v>
      </c>
      <c r="E77" s="179" t="s">
        <v>495</v>
      </c>
    </row>
    <row r="78" spans="1:5" ht="110.25" customHeight="1">
      <c r="A78" s="174">
        <v>21</v>
      </c>
      <c r="B78" s="199" t="str">
        <f>'[5]Schedule- B'!C67</f>
        <v>Conveying the materials obtained from excavation including laying in layers, breaking clods, dressing to the required lines, curves, grades and section for all leads &amp; lifts from the site of excavation to the site of deposition  outside the complex as dir</v>
      </c>
      <c r="C78" s="179" t="s">
        <v>496</v>
      </c>
      <c r="D78" s="179">
        <v>197</v>
      </c>
      <c r="E78" s="179" t="s">
        <v>495</v>
      </c>
    </row>
    <row r="84" spans="2:5">
      <c r="B84" s="206" t="str">
        <f>'[3]She. B Abstract RD'!B14</f>
        <v>SUBWORK  III :- Material Lab Testing charges</v>
      </c>
    </row>
    <row r="85" spans="2:5" ht="273.75" customHeight="1">
      <c r="B85" s="179" t="s">
        <v>529</v>
      </c>
      <c r="C85" s="179" t="s">
        <v>530</v>
      </c>
      <c r="D85" s="179" t="s">
        <v>530</v>
      </c>
      <c r="E85" s="179" t="s">
        <v>531</v>
      </c>
    </row>
    <row r="86" spans="2:5" ht="15.75">
      <c r="B86" s="179"/>
      <c r="C86" s="179"/>
      <c r="D86" s="179"/>
      <c r="E86" s="179"/>
    </row>
    <row r="87" spans="2:5" ht="15.75">
      <c r="B87" s="207" t="str">
        <f>'[3]She. B Abstract RD'!B15</f>
        <v>SUBWORK IV :- Royalty Charges</v>
      </c>
      <c r="C87" s="179"/>
      <c r="D87" s="179"/>
      <c r="E87" s="179"/>
    </row>
    <row r="88" spans="2:5" ht="15.75">
      <c r="B88" s="179" t="str">
        <f>'[7]Schedule- B All '!C122</f>
        <v>Royalty Charges for Murum etc. Completed.</v>
      </c>
      <c r="C88" s="179" t="s">
        <v>467</v>
      </c>
      <c r="D88" s="179" t="s">
        <v>467</v>
      </c>
      <c r="E88" s="179" t="s">
        <v>465</v>
      </c>
    </row>
    <row r="89" spans="2:5" ht="31.5">
      <c r="B89" s="179" t="str">
        <f>'[7]Schedule- B All '!C123</f>
        <v>Royalty Charges for UCR mesonary rubble etc. complete.</v>
      </c>
      <c r="C89" s="179" t="s">
        <v>467</v>
      </c>
      <c r="D89" s="179" t="s">
        <v>467</v>
      </c>
      <c r="E89" s="179" t="s">
        <v>465</v>
      </c>
    </row>
  </sheetData>
  <mergeCells count="12">
    <mergeCell ref="C14:D14"/>
    <mergeCell ref="A1:E1"/>
    <mergeCell ref="A2:E2"/>
    <mergeCell ref="A3:E3"/>
    <mergeCell ref="B5:E5"/>
    <mergeCell ref="A7:E7"/>
    <mergeCell ref="A8:E8"/>
    <mergeCell ref="A9:E9"/>
    <mergeCell ref="A11:A12"/>
    <mergeCell ref="B11:B12"/>
    <mergeCell ref="C11:D11"/>
    <mergeCell ref="E11:E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basic data</vt:lpstr>
      <vt:lpstr>recap</vt:lpstr>
      <vt:lpstr>Abst.WT</vt:lpstr>
      <vt:lpstr>RA-1</vt:lpstr>
      <vt:lpstr>LAB</vt:lpstr>
      <vt:lpstr>ROYALTY</vt:lpstr>
      <vt:lpstr>Measurment</vt:lpstr>
      <vt:lpstr>Sech-B-</vt:lpstr>
      <vt:lpstr>Sexh-C</vt:lpstr>
      <vt:lpstr>Sech-B-Abs</vt:lpstr>
      <vt:lpstr>Abst.WT!Print_Area</vt:lpstr>
      <vt:lpstr>Measurment!Print_Area</vt:lpstr>
      <vt:lpstr>recap!Print_Area</vt:lpstr>
      <vt:lpstr>ROYALTY!Print_Area</vt:lpstr>
      <vt:lpstr>Abst.WT!Print_Titles</vt:lpstr>
    </vt:vector>
  </TitlesOfParts>
  <Company>MWFC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 satisfied Microsoft Office User</dc:creator>
  <cp:lastModifiedBy>kk</cp:lastModifiedBy>
  <cp:lastPrinted>2020-08-03T21:58:31Z</cp:lastPrinted>
  <dcterms:created xsi:type="dcterms:W3CDTF">2001-10-05T09:47:44Z</dcterms:created>
  <dcterms:modified xsi:type="dcterms:W3CDTF">2020-08-03T22:14:11Z</dcterms:modified>
</cp:coreProperties>
</file>